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8.xml" ContentType="application/vnd.openxmlformats-officedocument.spreadsheetml.table+xml"/>
  <Override PartName="/xl/tables/table9.xml" ContentType="application/vnd.openxmlformats-officedocument.spreadsheetml.table+xml"/>
  <Override PartName="/xl/drawings/drawing3.xml" ContentType="application/vnd.openxmlformats-officedocument.drawing+xml"/>
  <Override PartName="/xl/tables/table10.xml" ContentType="application/vnd.openxmlformats-officedocument.spreadsheetml.table+xml"/>
  <Override PartName="/xl/drawings/drawing4.xml" ContentType="application/vnd.openxmlformats-officedocument.drawing+xml"/>
  <Override PartName="/xl/tables/table11.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tables/table12.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7.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xml" ContentType="application/vnd.openxmlformats-officedocument.drawing+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C:\Users\tyoung\Desktop\"/>
    </mc:Choice>
  </mc:AlternateContent>
  <xr:revisionPtr revIDLastSave="0" documentId="8_{5FF9B10C-8D6E-493A-87ED-9DD1574374C8}" xr6:coauthVersionLast="47" xr6:coauthVersionMax="47" xr10:uidLastSave="{00000000-0000-0000-0000-000000000000}"/>
  <bookViews>
    <workbookView xWindow="-28920" yWindow="960" windowWidth="29040" windowHeight="15720" tabRatio="807" xr2:uid="{96479515-A53B-463D-9227-6A9FF217B1F2}"/>
  </bookViews>
  <sheets>
    <sheet name="Disclaimer" sheetId="38" r:id="rId1"/>
    <sheet name="Dashboard" sheetId="37" r:id="rId2"/>
    <sheet name="Residential MultiFam" sheetId="17" state="hidden" r:id="rId3"/>
    <sheet name="Legend" sheetId="21" r:id="rId4"/>
    <sheet name="Residential" sheetId="20" r:id="rId5"/>
    <sheet name="Commercial" sheetId="34" r:id="rId6"/>
    <sheet name="Commercial_individual" sheetId="33" state="hidden" r:id="rId7"/>
    <sheet name="CZ5 Com Savings" sheetId="32" state="hidden" r:id="rId8"/>
    <sheet name="CZ5 Com_NoHeat" sheetId="31" state="hidden" r:id="rId9"/>
    <sheet name="SCOUT ECMs" sheetId="30" state="hidden" r:id="rId10"/>
    <sheet name="CZ5_sqft_bldg type" sheetId="29" state="hidden" r:id="rId11"/>
    <sheet name="ComRefBldg_Miami" sheetId="28" state="hidden" r:id="rId12"/>
    <sheet name="Scout-ComRefBldgs" sheetId="26" state="hidden" r:id="rId13"/>
    <sheet name="ComRefBldg_Miami2" sheetId="27" state="hidden" r:id="rId14"/>
    <sheet name="Industrial" sheetId="25" r:id="rId15"/>
    <sheet name="IAC Industrial Averages" sheetId="24" state="hidden" r:id="rId16"/>
    <sheet name="Consumption Forecasts" sheetId="2" r:id="rId17"/>
    <sheet name="Charts" sheetId="36" r:id="rId18"/>
    <sheet name="Siemens IRP Data" sheetId="12" state="hidden" r:id="rId19"/>
  </sheets>
  <externalReferences>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5" hidden="1">Commercial!$B$11:$K$45</definedName>
    <definedName name="_xlnm._FilterDatabase" localSheetId="7" hidden="1">'CZ5 Com Savings'!#REF!</definedName>
    <definedName name="_xlnm._FilterDatabase" localSheetId="8" hidden="1">'CZ5 Com_NoHeat'!$A$2:$AM$109</definedName>
    <definedName name="_xlnm._FilterDatabase" localSheetId="4" hidden="1">Residential!$B$11:$V$47</definedName>
    <definedName name="_xlnm._FilterDatabase" localSheetId="9" hidden="1">'SCOUT ECMs'!$A$1:$AS$586</definedName>
    <definedName name="Case" localSheetId="5">[1]Assumptions!$C$16</definedName>
    <definedName name="Case" localSheetId="6">[1]Assumptions!$C$16</definedName>
    <definedName name="Case" localSheetId="11">[1]Assumptions!$C$16</definedName>
    <definedName name="Case" localSheetId="13">[1]Assumptions!$C$16</definedName>
    <definedName name="Case" localSheetId="7">[1]Assumptions!$C$16</definedName>
    <definedName name="Case" localSheetId="8">[1]Assumptions!$C$16</definedName>
    <definedName name="Case" localSheetId="10">[1]Assumptions!$C$16</definedName>
    <definedName name="Case" localSheetId="3">[2]Assumptions!$C$16</definedName>
    <definedName name="Case" localSheetId="4">[2]Assumptions!$C$16</definedName>
    <definedName name="Case" localSheetId="9">[1]Assumptions!$C$16</definedName>
    <definedName name="Case" localSheetId="12">[1]Assumptions!$C$16</definedName>
    <definedName name="Case">[3]Assumptions!$C$16</definedName>
    <definedName name="_xlnm.Extract" localSheetId="7">'CZ5 Com Savings'!#REF!</definedName>
    <definedName name="MF_units" localSheetId="5">Commercial!#REF!</definedName>
    <definedName name="MF_units" localSheetId="6">#REF!</definedName>
    <definedName name="MF_units" localSheetId="11">#REF!</definedName>
    <definedName name="MF_units" localSheetId="13">#REF!</definedName>
    <definedName name="MF_units" localSheetId="7">#REF!</definedName>
    <definedName name="MF_units" localSheetId="8">#REF!</definedName>
    <definedName name="MF_units" localSheetId="10">#REF!</definedName>
    <definedName name="MF_units" localSheetId="15">#REF!</definedName>
    <definedName name="MF_units" localSheetId="14">#REF!</definedName>
    <definedName name="MF_units" localSheetId="3">[4]Residential!$D$44</definedName>
    <definedName name="MF_units" localSheetId="4">Residential!$E$52</definedName>
    <definedName name="MF_units" localSheetId="9">#REF!</definedName>
    <definedName name="MF_units" localSheetId="12">#REF!</definedName>
    <definedName name="MF_units">#REF!</definedName>
    <definedName name="MF_units_2">#REF!</definedName>
    <definedName name="MF_units_per_building" localSheetId="5">[5]Assumptions!$C$29</definedName>
    <definedName name="MF_units_per_building" localSheetId="6">[5]Assumptions!$C$29</definedName>
    <definedName name="MF_units_per_building" localSheetId="11">[5]Assumptions!$C$29</definedName>
    <definedName name="MF_units_per_building" localSheetId="13">[5]Assumptions!$C$29</definedName>
    <definedName name="MF_units_per_building" localSheetId="7">[5]Assumptions!$C$29</definedName>
    <definedName name="MF_units_per_building" localSheetId="8">[5]Assumptions!$C$29</definedName>
    <definedName name="MF_units_per_building" localSheetId="10">[5]Assumptions!$C$29</definedName>
    <definedName name="MF_units_per_building" localSheetId="3">[6]Assumptions!$C$29</definedName>
    <definedName name="MF_units_per_building" localSheetId="4">[6]Assumptions!$C$29</definedName>
    <definedName name="MF_units_per_building" localSheetId="9">[5]Assumptions!$C$29</definedName>
    <definedName name="MF_units_per_building" localSheetId="12">[5]Assumptions!$C$29</definedName>
    <definedName name="MF_units_per_building">[7]Assumptions!$C$29</definedName>
    <definedName name="MFUnitsPerBuilding" localSheetId="5">'[8]Residential MultiFam'!$G$3</definedName>
    <definedName name="MFUnitsPerBuilding" localSheetId="6">#REF!</definedName>
    <definedName name="MFUnitsPerBuilding" localSheetId="11">#REF!</definedName>
    <definedName name="MFUnitsPerBuilding" localSheetId="13">#REF!</definedName>
    <definedName name="MFUnitsPerBuilding" localSheetId="7">#REF!</definedName>
    <definedName name="MFUnitsPerBuilding" localSheetId="8">#REF!</definedName>
    <definedName name="MFUnitsPerBuilding" localSheetId="10">#REF!</definedName>
    <definedName name="MFUnitsPerBuilding" localSheetId="15">#REF!</definedName>
    <definedName name="MFUnitsPerBuilding" localSheetId="14">#REF!</definedName>
    <definedName name="MFUnitsPerBuilding" localSheetId="3">'[4]Residential MultiFam'!$G$3</definedName>
    <definedName name="MFUnitsPerBuilding" localSheetId="4">'[4]Residential MultiFam'!$G$3</definedName>
    <definedName name="MFUnitsPerBuilding" localSheetId="9">#REF!</definedName>
    <definedName name="MFUnitsPerBuilding" localSheetId="12">#REF!</definedName>
    <definedName name="MFUnitsPerBuilding">'Residential MultiFam'!$G$3</definedName>
    <definedName name="MFUnitsPerBuilding2">#REF!</definedName>
    <definedName name="_xlnm.Print_Area" localSheetId="1">Dashboard!$A$2:$AF$64</definedName>
    <definedName name="SF_units" localSheetId="5">Commercial!#REF!</definedName>
    <definedName name="SF_units" localSheetId="6">#REF!</definedName>
    <definedName name="SF_units" localSheetId="11">#REF!</definedName>
    <definedName name="SF_units" localSheetId="13">#REF!</definedName>
    <definedName name="SF_units" localSheetId="7">#REF!</definedName>
    <definedName name="SF_units" localSheetId="8">#REF!</definedName>
    <definedName name="SF_units" localSheetId="10">#REF!</definedName>
    <definedName name="SF_units" localSheetId="15">#REF!</definedName>
    <definedName name="SF_units" localSheetId="14">#REF!</definedName>
    <definedName name="SF_units" localSheetId="4">Residential!$E$51</definedName>
    <definedName name="SF_units" localSheetId="9">#REF!</definedName>
    <definedName name="SF_units" localSheetId="12">#REF!</definedName>
    <definedName name="SF_units">#REF!</definedName>
  </definedNames>
  <calcPr calcId="191029" iterate="1" iterateCount="5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34" l="1"/>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C45" i="34"/>
  <c r="C35" i="34"/>
  <c r="G56" i="20"/>
  <c r="F20" i="34"/>
  <c r="F41" i="34"/>
  <c r="F42" i="34"/>
  <c r="F43" i="34"/>
  <c r="F44" i="34"/>
  <c r="F25" i="34"/>
  <c r="C68" i="2"/>
  <c r="D68" i="2"/>
  <c r="E68" i="2"/>
  <c r="F68" i="2"/>
  <c r="G68" i="2"/>
  <c r="H68" i="2"/>
  <c r="G68" i="20"/>
  <c r="F67" i="20"/>
  <c r="I55" i="20"/>
  <c r="F60" i="2"/>
  <c r="F23" i="2"/>
  <c r="L69" i="20"/>
  <c r="L49" i="20"/>
  <c r="L46" i="20"/>
  <c r="D10" i="25"/>
  <c r="B48" i="36"/>
  <c r="B49" i="36"/>
  <c r="B50" i="36"/>
  <c r="B51" i="36"/>
  <c r="B52" i="36"/>
  <c r="B53" i="36"/>
  <c r="B47" i="36"/>
  <c r="B74" i="36"/>
  <c r="D66" i="36"/>
  <c r="D70" i="36"/>
  <c r="C65" i="36"/>
  <c r="D65" i="36"/>
  <c r="C67" i="36"/>
  <c r="D67" i="36"/>
  <c r="C68" i="36"/>
  <c r="D68" i="36"/>
  <c r="C69" i="36"/>
  <c r="D69" i="36"/>
  <c r="C64" i="36"/>
  <c r="D64" i="36"/>
  <c r="D72" i="36"/>
  <c r="C72" i="36"/>
  <c r="V186" i="2"/>
  <c r="U186" i="2"/>
  <c r="V65" i="2"/>
  <c r="U65" i="2"/>
  <c r="M64" i="2"/>
  <c r="C64" i="2"/>
  <c r="D64" i="2"/>
  <c r="E64" i="2"/>
  <c r="F64" i="2"/>
  <c r="G64" i="2"/>
  <c r="H64" i="2"/>
  <c r="I64" i="2"/>
  <c r="J64" i="2"/>
  <c r="K64" i="2"/>
  <c r="L64" i="2"/>
  <c r="N64" i="2"/>
  <c r="O64" i="2"/>
  <c r="P64" i="2"/>
  <c r="Q64" i="2"/>
  <c r="R64" i="2"/>
  <c r="S64" i="2"/>
  <c r="T64" i="2"/>
  <c r="U64" i="2"/>
  <c r="V64" i="2"/>
  <c r="B64" i="2"/>
  <c r="C185" i="2"/>
  <c r="D185" i="2"/>
  <c r="E185" i="2"/>
  <c r="F185" i="2"/>
  <c r="G185" i="2"/>
  <c r="H185" i="2"/>
  <c r="I185" i="2"/>
  <c r="J185" i="2"/>
  <c r="K185" i="2"/>
  <c r="L185" i="2"/>
  <c r="M185" i="2"/>
  <c r="N185" i="2"/>
  <c r="O185" i="2"/>
  <c r="P185" i="2"/>
  <c r="Q185" i="2"/>
  <c r="R185" i="2"/>
  <c r="S185" i="2"/>
  <c r="T185" i="2"/>
  <c r="U185" i="2"/>
  <c r="V185" i="2"/>
  <c r="B185" i="2"/>
  <c r="BD5" i="2"/>
  <c r="BE5" i="2"/>
  <c r="BF5" i="2"/>
  <c r="BG5" i="2"/>
  <c r="BH5" i="2"/>
  <c r="BI5" i="2"/>
  <c r="BJ5" i="2"/>
  <c r="BK5" i="2"/>
  <c r="BL5" i="2"/>
  <c r="BM5" i="2"/>
  <c r="BN5" i="2"/>
  <c r="BO5" i="2"/>
  <c r="BP5" i="2"/>
  <c r="BQ5" i="2"/>
  <c r="BR5" i="2"/>
  <c r="BS5" i="2"/>
  <c r="BT5" i="2"/>
  <c r="BU5" i="2"/>
  <c r="BV5" i="2"/>
  <c r="BW5" i="2"/>
  <c r="BW7" i="2"/>
  <c r="BC5" i="2"/>
  <c r="BO7" i="2"/>
  <c r="BV7" i="2"/>
  <c r="BR7" i="2"/>
  <c r="BN7" i="2"/>
  <c r="BJ7" i="2"/>
  <c r="BF7" i="2"/>
  <c r="BS7" i="2"/>
  <c r="BG7" i="2"/>
  <c r="BU7" i="2"/>
  <c r="BQ7" i="2"/>
  <c r="BM7" i="2"/>
  <c r="BI7" i="2"/>
  <c r="BE7" i="2"/>
  <c r="BK7" i="2"/>
  <c r="BC7" i="2"/>
  <c r="BT7" i="2"/>
  <c r="BP7" i="2"/>
  <c r="BL7" i="2"/>
  <c r="BH7" i="2"/>
  <c r="BD7" i="2"/>
  <c r="AO3" i="31"/>
  <c r="AO4" i="31"/>
  <c r="AO5" i="31"/>
  <c r="AP5" i="31"/>
  <c r="AQ5" i="31"/>
  <c r="AR5" i="31"/>
  <c r="AS5" i="31"/>
  <c r="AO6" i="31"/>
  <c r="AO7" i="31"/>
  <c r="AP7" i="31"/>
  <c r="AQ7" i="31"/>
  <c r="AR7" i="31"/>
  <c r="AS7" i="31"/>
  <c r="AO8" i="31"/>
  <c r="AO9" i="31"/>
  <c r="AP9" i="31"/>
  <c r="AQ9" i="31"/>
  <c r="AR9" i="31"/>
  <c r="AS9" i="31"/>
  <c r="AO10" i="31"/>
  <c r="AO11" i="31"/>
  <c r="AP11" i="31"/>
  <c r="AQ11" i="31"/>
  <c r="AR11" i="31"/>
  <c r="AS11" i="31"/>
  <c r="AO12" i="31"/>
  <c r="AO13" i="31"/>
  <c r="AP13" i="31"/>
  <c r="AQ13" i="31"/>
  <c r="AR13" i="31"/>
  <c r="AS13" i="31"/>
  <c r="AO14" i="31"/>
  <c r="AO15" i="31"/>
  <c r="AP15" i="31"/>
  <c r="AQ15" i="31"/>
  <c r="AR15" i="31"/>
  <c r="AS15" i="31"/>
  <c r="AO16" i="31"/>
  <c r="AO17" i="31"/>
  <c r="AP17" i="31"/>
  <c r="AQ17" i="31"/>
  <c r="AR17" i="31"/>
  <c r="AS17" i="31"/>
  <c r="AO18" i="31"/>
  <c r="AO19" i="31"/>
  <c r="AP19" i="31"/>
  <c r="AQ19" i="31"/>
  <c r="AR19" i="31"/>
  <c r="AS19" i="31"/>
  <c r="AO20" i="31"/>
  <c r="AO21" i="31"/>
  <c r="AP21" i="31"/>
  <c r="AQ21" i="31"/>
  <c r="AR21" i="31"/>
  <c r="AS21" i="31"/>
  <c r="AO22" i="31"/>
  <c r="AO23" i="31"/>
  <c r="AP23" i="31"/>
  <c r="AQ23" i="31"/>
  <c r="AR23" i="31"/>
  <c r="AS23" i="31"/>
  <c r="AO24" i="31"/>
  <c r="AO25" i="31"/>
  <c r="AP25" i="31"/>
  <c r="AQ25" i="31"/>
  <c r="AR25" i="31"/>
  <c r="AS25" i="31"/>
  <c r="AO26" i="31"/>
  <c r="AO27" i="31"/>
  <c r="AP27" i="31"/>
  <c r="AQ27" i="31"/>
  <c r="AR27" i="31"/>
  <c r="AS27" i="31"/>
  <c r="AO28" i="31"/>
  <c r="AO29" i="31"/>
  <c r="AP29" i="31"/>
  <c r="AQ29" i="31"/>
  <c r="AR29" i="31"/>
  <c r="AS29" i="31"/>
  <c r="AO30" i="31"/>
  <c r="AO31" i="31"/>
  <c r="AP31" i="31"/>
  <c r="AQ31" i="31"/>
  <c r="AR31" i="31"/>
  <c r="AS31" i="31"/>
  <c r="AO32" i="31"/>
  <c r="AO33" i="31"/>
  <c r="AP33" i="31"/>
  <c r="AQ33" i="31"/>
  <c r="AR33" i="31"/>
  <c r="AS33" i="31"/>
  <c r="AO34" i="31"/>
  <c r="AO35" i="31"/>
  <c r="AP35" i="31"/>
  <c r="AQ35" i="31"/>
  <c r="AR35" i="31"/>
  <c r="AS35" i="31"/>
  <c r="AO36" i="31"/>
  <c r="AO37" i="31"/>
  <c r="AP37" i="31"/>
  <c r="AQ37" i="31"/>
  <c r="AR37" i="31"/>
  <c r="AS37" i="31"/>
  <c r="AO38" i="31"/>
  <c r="AO39" i="31"/>
  <c r="AP39" i="31"/>
  <c r="AQ39" i="31"/>
  <c r="AR39" i="31"/>
  <c r="AS39" i="31"/>
  <c r="AO40" i="31"/>
  <c r="AO41" i="31"/>
  <c r="AP41" i="31"/>
  <c r="AQ41" i="31"/>
  <c r="AR41" i="31"/>
  <c r="AS41" i="31"/>
  <c r="AO42" i="31"/>
  <c r="AO43" i="31"/>
  <c r="AP43" i="31"/>
  <c r="AQ43" i="31"/>
  <c r="AR43" i="31"/>
  <c r="AS43" i="31"/>
  <c r="AO44" i="31"/>
  <c r="AO45" i="31"/>
  <c r="AP45" i="31"/>
  <c r="AQ45" i="31"/>
  <c r="AR45" i="31"/>
  <c r="AS45" i="31"/>
  <c r="AO46" i="31"/>
  <c r="AO47" i="31"/>
  <c r="AP47" i="31"/>
  <c r="AQ47" i="31"/>
  <c r="AR47" i="31"/>
  <c r="AS47" i="31"/>
  <c r="AO48" i="31"/>
  <c r="AO49" i="31"/>
  <c r="AP49" i="31"/>
  <c r="AQ49" i="31"/>
  <c r="AR49" i="31"/>
  <c r="AS49" i="31"/>
  <c r="AO50" i="31"/>
  <c r="AO51" i="31"/>
  <c r="AP51" i="31"/>
  <c r="AQ51" i="31"/>
  <c r="AR51" i="31"/>
  <c r="AS51" i="31"/>
  <c r="AO52" i="31"/>
  <c r="AO53" i="31"/>
  <c r="AP53" i="31"/>
  <c r="AQ53" i="31"/>
  <c r="AR53" i="31"/>
  <c r="AS53" i="31"/>
  <c r="AO54" i="31"/>
  <c r="AO55" i="31"/>
  <c r="AP55" i="31"/>
  <c r="AQ55" i="31"/>
  <c r="AR55" i="31"/>
  <c r="AS55" i="31"/>
  <c r="AO56" i="31"/>
  <c r="AO57" i="31"/>
  <c r="AP57" i="31"/>
  <c r="AQ57" i="31"/>
  <c r="AR57" i="31"/>
  <c r="AS57" i="31"/>
  <c r="AO58" i="31"/>
  <c r="AO59" i="31"/>
  <c r="AP59" i="31"/>
  <c r="AQ59" i="31"/>
  <c r="AR59" i="31"/>
  <c r="AS59" i="31"/>
  <c r="AO60" i="31"/>
  <c r="AO61" i="31"/>
  <c r="AP61" i="31"/>
  <c r="AQ61" i="31"/>
  <c r="AR61" i="31"/>
  <c r="AS61" i="31"/>
  <c r="AO62" i="31"/>
  <c r="AO63" i="31"/>
  <c r="AP63" i="31"/>
  <c r="AQ63" i="31"/>
  <c r="AR63" i="31"/>
  <c r="AS63" i="31"/>
  <c r="AO64" i="31"/>
  <c r="AO65" i="31"/>
  <c r="AP65" i="31"/>
  <c r="AQ65" i="31"/>
  <c r="AR65" i="31"/>
  <c r="AS65" i="31"/>
  <c r="AO66" i="31"/>
  <c r="AO67" i="31"/>
  <c r="AP67" i="31"/>
  <c r="AQ67" i="31"/>
  <c r="AR67" i="31"/>
  <c r="AS67" i="31"/>
  <c r="AO68" i="31"/>
  <c r="AO69" i="31"/>
  <c r="AP69" i="31"/>
  <c r="AQ69" i="31"/>
  <c r="AR69" i="31"/>
  <c r="AS69" i="31"/>
  <c r="AO70" i="31"/>
  <c r="AO71" i="31"/>
  <c r="AP71" i="31"/>
  <c r="AQ71" i="31"/>
  <c r="AR71" i="31"/>
  <c r="AS71" i="31"/>
  <c r="AO72" i="31"/>
  <c r="AO73" i="31"/>
  <c r="AP73" i="31"/>
  <c r="AQ73" i="31"/>
  <c r="AR73" i="31"/>
  <c r="AS73" i="31"/>
  <c r="AO74" i="31"/>
  <c r="AO75" i="31"/>
  <c r="AP75" i="31"/>
  <c r="AQ75" i="31"/>
  <c r="AR75" i="31"/>
  <c r="AS75" i="31"/>
  <c r="AO76" i="31"/>
  <c r="AO77" i="31"/>
  <c r="AP77" i="31"/>
  <c r="AQ77" i="31"/>
  <c r="AR77" i="31"/>
  <c r="AS77" i="31"/>
  <c r="AO78" i="31"/>
  <c r="AO79" i="31"/>
  <c r="AP79" i="31"/>
  <c r="AQ79" i="31"/>
  <c r="AR79" i="31"/>
  <c r="AS79" i="31"/>
  <c r="AO80" i="31"/>
  <c r="AO81" i="31"/>
  <c r="AP81" i="31"/>
  <c r="AQ81" i="31"/>
  <c r="AR81" i="31"/>
  <c r="AS81" i="31"/>
  <c r="AO82" i="31"/>
  <c r="AO83" i="31"/>
  <c r="AP83" i="31"/>
  <c r="AQ83" i="31"/>
  <c r="AR83" i="31"/>
  <c r="AS83" i="31"/>
  <c r="AO84" i="31"/>
  <c r="AO85" i="31"/>
  <c r="AP85" i="31"/>
  <c r="AQ85" i="31"/>
  <c r="AR85" i="31"/>
  <c r="AS85" i="31"/>
  <c r="AO86" i="31"/>
  <c r="AO87" i="31"/>
  <c r="AP87" i="31"/>
  <c r="AQ87" i="31"/>
  <c r="AR87" i="31"/>
  <c r="AS87" i="31"/>
  <c r="AO88" i="31"/>
  <c r="AO89" i="31"/>
  <c r="AP89" i="31"/>
  <c r="AQ89" i="31"/>
  <c r="AR89" i="31"/>
  <c r="AS89" i="31"/>
  <c r="AO90" i="31"/>
  <c r="AO91" i="31"/>
  <c r="AP91" i="31"/>
  <c r="AQ91" i="31"/>
  <c r="AR91" i="31"/>
  <c r="AS91" i="31"/>
  <c r="AO92" i="31"/>
  <c r="AO93" i="31"/>
  <c r="AP93" i="31"/>
  <c r="AQ93" i="31"/>
  <c r="AR93" i="31"/>
  <c r="AS93" i="31"/>
  <c r="AO94" i="31"/>
  <c r="AO95" i="31"/>
  <c r="AP95" i="31"/>
  <c r="AQ95" i="31"/>
  <c r="AR95" i="31"/>
  <c r="AS95" i="31"/>
  <c r="AO96" i="31"/>
  <c r="AO97" i="31"/>
  <c r="AP97" i="31"/>
  <c r="AQ97" i="31"/>
  <c r="AR97" i="31"/>
  <c r="AS97" i="31"/>
  <c r="AO98" i="31"/>
  <c r="AO99" i="31"/>
  <c r="AP99" i="31"/>
  <c r="AQ99" i="31"/>
  <c r="AR99" i="31"/>
  <c r="AS99" i="31"/>
  <c r="AO100" i="31"/>
  <c r="AO101" i="31"/>
  <c r="AP101" i="31"/>
  <c r="AQ101" i="31"/>
  <c r="AR101" i="31"/>
  <c r="AS101" i="31"/>
  <c r="AO102" i="31"/>
  <c r="AO103" i="31"/>
  <c r="AP103" i="31"/>
  <c r="AQ103" i="31"/>
  <c r="AR103" i="31"/>
  <c r="AS103" i="31"/>
  <c r="AO104" i="31"/>
  <c r="AO105" i="31"/>
  <c r="AP105" i="31"/>
  <c r="AQ105" i="31"/>
  <c r="AR105" i="31"/>
  <c r="AS105" i="31"/>
  <c r="AO106" i="31"/>
  <c r="AO107" i="31"/>
  <c r="AP107" i="31"/>
  <c r="AQ107" i="31"/>
  <c r="AR107" i="31"/>
  <c r="AS107" i="31"/>
  <c r="AO108" i="31"/>
  <c r="AO109" i="31"/>
  <c r="AP109" i="31"/>
  <c r="AQ109" i="31"/>
  <c r="AR109" i="31"/>
  <c r="AS109" i="31"/>
  <c r="E12" i="34"/>
  <c r="B13" i="34"/>
  <c r="F13" i="34"/>
  <c r="F14" i="34"/>
  <c r="B15" i="34"/>
  <c r="F15" i="34"/>
  <c r="B16" i="34"/>
  <c r="F16" i="34"/>
  <c r="B17" i="34"/>
  <c r="F17" i="34"/>
  <c r="B18" i="34"/>
  <c r="F18" i="34"/>
  <c r="B19" i="34"/>
  <c r="F19" i="34"/>
  <c r="E21" i="34"/>
  <c r="B22" i="34"/>
  <c r="F22" i="34"/>
  <c r="B23" i="34"/>
  <c r="F23" i="34"/>
  <c r="B24" i="34"/>
  <c r="F24" i="34"/>
  <c r="E26" i="34"/>
  <c r="B27" i="34"/>
  <c r="F27" i="34"/>
  <c r="B28" i="34"/>
  <c r="F28" i="34"/>
  <c r="B29" i="34"/>
  <c r="F29" i="34"/>
  <c r="B30" i="34"/>
  <c r="F30" i="34"/>
  <c r="E31" i="34"/>
  <c r="B32" i="34"/>
  <c r="F32" i="34"/>
  <c r="B33" i="34"/>
  <c r="F33" i="34"/>
  <c r="B34" i="34"/>
  <c r="F34" i="34"/>
  <c r="E35" i="34"/>
  <c r="B36" i="34"/>
  <c r="F36" i="34"/>
  <c r="K36" i="34"/>
  <c r="B37" i="34"/>
  <c r="F37" i="34"/>
  <c r="B38" i="34"/>
  <c r="F38" i="34"/>
  <c r="B39" i="34"/>
  <c r="F39" i="34"/>
  <c r="B40" i="34"/>
  <c r="F40" i="34"/>
  <c r="B41" i="34"/>
  <c r="B42" i="34"/>
  <c r="E45" i="34"/>
  <c r="B46" i="34"/>
  <c r="F46" i="34"/>
  <c r="K46" i="34"/>
  <c r="B47" i="34"/>
  <c r="F47" i="34"/>
  <c r="E48" i="34"/>
  <c r="F49" i="34"/>
  <c r="E50" i="34"/>
  <c r="F51" i="34"/>
  <c r="H2" i="33"/>
  <c r="I2" i="33"/>
  <c r="G5" i="33"/>
  <c r="H5" i="33"/>
  <c r="I5" i="33"/>
  <c r="J5" i="33"/>
  <c r="K5" i="33"/>
  <c r="L5" i="33"/>
  <c r="M5" i="33"/>
  <c r="N5" i="33"/>
  <c r="O5" i="33"/>
  <c r="P5" i="33"/>
  <c r="Q5" i="33"/>
  <c r="R5" i="33"/>
  <c r="S5" i="33"/>
  <c r="T5" i="33"/>
  <c r="U5" i="33"/>
  <c r="V5" i="33"/>
  <c r="W5" i="33"/>
  <c r="X5" i="33"/>
  <c r="Y5" i="33"/>
  <c r="Z5" i="33"/>
  <c r="AA5" i="33"/>
  <c r="B10" i="33"/>
  <c r="I10" i="33"/>
  <c r="I16" i="33"/>
  <c r="J10" i="33"/>
  <c r="J16" i="33"/>
  <c r="B11" i="33"/>
  <c r="B12" i="33"/>
  <c r="B13" i="33"/>
  <c r="B14" i="33"/>
  <c r="B15" i="33"/>
  <c r="B16" i="33"/>
  <c r="B17" i="33"/>
  <c r="B18" i="33"/>
  <c r="B19" i="33"/>
  <c r="B20" i="33"/>
  <c r="B21" i="33"/>
  <c r="B22" i="33"/>
  <c r="B23" i="33"/>
  <c r="B24" i="33"/>
  <c r="B25" i="33"/>
  <c r="B26" i="33"/>
  <c r="B27" i="33"/>
  <c r="B28" i="33"/>
  <c r="B29" i="33"/>
  <c r="B30" i="33"/>
  <c r="B31" i="33"/>
  <c r="B32" i="33"/>
  <c r="B33" i="33"/>
  <c r="B34" i="33"/>
  <c r="B35" i="33"/>
  <c r="I36" i="33"/>
  <c r="J36" i="33"/>
  <c r="K36" i="33"/>
  <c r="L36" i="33"/>
  <c r="M36" i="33"/>
  <c r="N36" i="33"/>
  <c r="O36" i="33"/>
  <c r="P36" i="33"/>
  <c r="Q36" i="33"/>
  <c r="R36" i="33"/>
  <c r="S36" i="33"/>
  <c r="T36" i="33"/>
  <c r="U36" i="33"/>
  <c r="V36" i="33"/>
  <c r="W36" i="33"/>
  <c r="X36" i="33"/>
  <c r="Y36" i="33"/>
  <c r="Z36" i="33"/>
  <c r="AA36" i="33"/>
  <c r="AB36" i="33"/>
  <c r="AC36" i="33"/>
  <c r="AD36" i="33"/>
  <c r="I37" i="33"/>
  <c r="J37" i="33"/>
  <c r="K37" i="33"/>
  <c r="L37" i="33"/>
  <c r="M37" i="33"/>
  <c r="N37" i="33"/>
  <c r="O37" i="33"/>
  <c r="P37" i="33"/>
  <c r="Q37" i="33"/>
  <c r="R37" i="33"/>
  <c r="S37" i="33"/>
  <c r="T37" i="33"/>
  <c r="U37" i="33"/>
  <c r="V37" i="33"/>
  <c r="W37" i="33"/>
  <c r="X37" i="33"/>
  <c r="Y37" i="33"/>
  <c r="Z37" i="33"/>
  <c r="AA37" i="33"/>
  <c r="AB37" i="33"/>
  <c r="AC37" i="33"/>
  <c r="AD37" i="33"/>
  <c r="B2" i="32"/>
  <c r="C2" i="32"/>
  <c r="B3" i="32"/>
  <c r="C3" i="32"/>
  <c r="B4" i="32"/>
  <c r="C4" i="32"/>
  <c r="B5" i="32"/>
  <c r="C5" i="32"/>
  <c r="B6" i="32"/>
  <c r="C6" i="32"/>
  <c r="B7" i="32"/>
  <c r="C7" i="32"/>
  <c r="B8" i="32"/>
  <c r="C8" i="32"/>
  <c r="B9" i="32"/>
  <c r="C9" i="32"/>
  <c r="B10" i="32"/>
  <c r="C10" i="32"/>
  <c r="B11" i="32"/>
  <c r="C11" i="32"/>
  <c r="B12" i="32"/>
  <c r="C12" i="32"/>
  <c r="B13" i="32"/>
  <c r="C13" i="32"/>
  <c r="B14" i="32"/>
  <c r="C14" i="32"/>
  <c r="B15" i="32"/>
  <c r="C15" i="32"/>
  <c r="B16" i="32"/>
  <c r="C16" i="32"/>
  <c r="B17" i="32"/>
  <c r="C17" i="32"/>
  <c r="B18" i="32"/>
  <c r="C18" i="32"/>
  <c r="B19" i="32"/>
  <c r="C19" i="32"/>
  <c r="B20" i="32"/>
  <c r="C20" i="32"/>
  <c r="B21" i="32"/>
  <c r="C21" i="32"/>
  <c r="B22" i="32"/>
  <c r="C22" i="32"/>
  <c r="B23" i="32"/>
  <c r="C23" i="32"/>
  <c r="B24" i="32"/>
  <c r="C24" i="32"/>
  <c r="B25" i="32"/>
  <c r="C25" i="32"/>
  <c r="B26" i="32"/>
  <c r="C26" i="32"/>
  <c r="B27" i="32"/>
  <c r="C27" i="32"/>
  <c r="AT5" i="31"/>
  <c r="AU5" i="31"/>
  <c r="AV5" i="31"/>
  <c r="AW5" i="31"/>
  <c r="AX5" i="31"/>
  <c r="AY5" i="31"/>
  <c r="AZ5" i="31"/>
  <c r="BA5" i="31"/>
  <c r="BB5" i="31"/>
  <c r="BC5" i="31"/>
  <c r="BD5" i="31"/>
  <c r="BE5" i="31"/>
  <c r="BF5" i="31"/>
  <c r="BG5" i="31"/>
  <c r="BH5" i="31"/>
  <c r="BI5" i="31"/>
  <c r="BJ5" i="31"/>
  <c r="BK5" i="31"/>
  <c r="BL5" i="31"/>
  <c r="BM5" i="31"/>
  <c r="BN5" i="31"/>
  <c r="BO5" i="31"/>
  <c r="BP5" i="31"/>
  <c r="BQ5" i="31"/>
  <c r="BR5" i="31"/>
  <c r="BS5" i="31"/>
  <c r="BT5" i="31"/>
  <c r="BU5" i="31"/>
  <c r="BV5" i="31"/>
  <c r="BW5" i="31"/>
  <c r="BX5" i="31"/>
  <c r="BY5" i="31"/>
  <c r="CA5" i="31"/>
  <c r="CB5" i="31"/>
  <c r="CC5" i="31"/>
  <c r="CD5" i="31"/>
  <c r="CE5" i="31"/>
  <c r="CF5" i="31"/>
  <c r="CG5" i="31"/>
  <c r="CH5" i="31"/>
  <c r="CI5" i="31"/>
  <c r="CJ5" i="31"/>
  <c r="CK5" i="31"/>
  <c r="CL5" i="31"/>
  <c r="CM5" i="31"/>
  <c r="CN5" i="31"/>
  <c r="CO5" i="31"/>
  <c r="CP5" i="31"/>
  <c r="CQ5" i="31"/>
  <c r="CR5" i="31"/>
  <c r="CS5" i="31"/>
  <c r="CT5" i="31"/>
  <c r="CU5" i="31"/>
  <c r="CV5" i="31"/>
  <c r="CW5" i="31"/>
  <c r="CX5" i="31"/>
  <c r="CY5" i="31"/>
  <c r="CZ5" i="31"/>
  <c r="DA5" i="31"/>
  <c r="DB5" i="31"/>
  <c r="DC5" i="31"/>
  <c r="DD5" i="31"/>
  <c r="DE5" i="31"/>
  <c r="DF5" i="31"/>
  <c r="DG5" i="31"/>
  <c r="DH5" i="31"/>
  <c r="DI5" i="31"/>
  <c r="DJ5" i="31"/>
  <c r="AT7" i="31"/>
  <c r="AU7" i="31"/>
  <c r="AV7" i="31"/>
  <c r="AW7" i="31"/>
  <c r="AX7" i="31"/>
  <c r="AY7" i="31"/>
  <c r="AZ7" i="31"/>
  <c r="BA7" i="31"/>
  <c r="BB7" i="31"/>
  <c r="BC7" i="31"/>
  <c r="BD7" i="31"/>
  <c r="BE7" i="31"/>
  <c r="BF7" i="31"/>
  <c r="BG7" i="31"/>
  <c r="BH7" i="31"/>
  <c r="BI7" i="31"/>
  <c r="BJ7" i="31"/>
  <c r="BK7" i="31"/>
  <c r="BL7" i="31"/>
  <c r="BM7" i="31"/>
  <c r="BN7" i="31"/>
  <c r="BO7" i="31"/>
  <c r="BP7" i="31"/>
  <c r="BQ7" i="31"/>
  <c r="BR7" i="31"/>
  <c r="BS7" i="31"/>
  <c r="BT7" i="31"/>
  <c r="BU7" i="31"/>
  <c r="BV7" i="31"/>
  <c r="BW7" i="31"/>
  <c r="BX7" i="31"/>
  <c r="BY7" i="31"/>
  <c r="CA7" i="31"/>
  <c r="CB7" i="31"/>
  <c r="CC7" i="31"/>
  <c r="CD7" i="31"/>
  <c r="CE7" i="31"/>
  <c r="CF7" i="31"/>
  <c r="CG7" i="31"/>
  <c r="CH7" i="31"/>
  <c r="CI7" i="31"/>
  <c r="CJ7" i="31"/>
  <c r="CK7" i="31"/>
  <c r="CL7" i="31"/>
  <c r="CM7" i="31"/>
  <c r="CN7" i="31"/>
  <c r="CO7" i="31"/>
  <c r="CP7" i="31"/>
  <c r="CQ7" i="31"/>
  <c r="CR7" i="31"/>
  <c r="CS7" i="31"/>
  <c r="CT7" i="31"/>
  <c r="CU7" i="31"/>
  <c r="CV7" i="31"/>
  <c r="CW7" i="31"/>
  <c r="CX7" i="31"/>
  <c r="CY7" i="31"/>
  <c r="CZ7" i="31"/>
  <c r="DA7" i="31"/>
  <c r="DB7" i="31"/>
  <c r="DC7" i="31"/>
  <c r="DD7" i="31"/>
  <c r="DE7" i="31"/>
  <c r="DF7" i="31"/>
  <c r="DG7" i="31"/>
  <c r="DH7" i="31"/>
  <c r="DI7" i="31"/>
  <c r="DJ7" i="31"/>
  <c r="AT9" i="31"/>
  <c r="AU9" i="31"/>
  <c r="AV9" i="31"/>
  <c r="AW9" i="31"/>
  <c r="AX9" i="31"/>
  <c r="AY9" i="31"/>
  <c r="AZ9" i="31"/>
  <c r="BA9" i="31"/>
  <c r="BB9" i="31"/>
  <c r="BC9" i="31"/>
  <c r="BD9" i="31"/>
  <c r="BE9" i="31"/>
  <c r="BF9" i="31"/>
  <c r="BG9" i="31"/>
  <c r="BH9" i="31"/>
  <c r="BI9" i="31"/>
  <c r="BJ9" i="31"/>
  <c r="BK9" i="31"/>
  <c r="BL9" i="31"/>
  <c r="BM9" i="31"/>
  <c r="BN9" i="31"/>
  <c r="BO9" i="31"/>
  <c r="BP9" i="31"/>
  <c r="BQ9" i="31"/>
  <c r="BR9" i="31"/>
  <c r="BS9" i="31"/>
  <c r="BT9" i="31"/>
  <c r="BU9" i="31"/>
  <c r="BV9" i="31"/>
  <c r="BW9" i="31"/>
  <c r="BX9" i="31"/>
  <c r="BY9" i="31"/>
  <c r="CA9" i="31"/>
  <c r="CB9" i="31"/>
  <c r="CC9" i="31"/>
  <c r="CD9" i="31"/>
  <c r="CE9" i="31"/>
  <c r="CF9" i="31"/>
  <c r="CG9" i="31"/>
  <c r="CH9" i="31"/>
  <c r="CI9" i="31"/>
  <c r="CJ9" i="31"/>
  <c r="CK9" i="31"/>
  <c r="CL9" i="31"/>
  <c r="CM9" i="31"/>
  <c r="CN9" i="31"/>
  <c r="CO9" i="31"/>
  <c r="CP9" i="31"/>
  <c r="CQ9" i="31"/>
  <c r="CR9" i="31"/>
  <c r="CS9" i="31"/>
  <c r="CT9" i="31"/>
  <c r="CU9" i="31"/>
  <c r="CV9" i="31"/>
  <c r="CW9" i="31"/>
  <c r="CX9" i="31"/>
  <c r="CY9" i="31"/>
  <c r="CZ9" i="31"/>
  <c r="DA9" i="31"/>
  <c r="DB9" i="31"/>
  <c r="DC9" i="31"/>
  <c r="DD9" i="31"/>
  <c r="DE9" i="31"/>
  <c r="DF9" i="31"/>
  <c r="DG9" i="31"/>
  <c r="DH9" i="31"/>
  <c r="DI9" i="31"/>
  <c r="DJ9" i="31"/>
  <c r="AT11" i="31"/>
  <c r="AU11" i="31"/>
  <c r="AV11" i="31"/>
  <c r="AW11" i="31"/>
  <c r="AX11" i="31"/>
  <c r="AY11" i="31"/>
  <c r="AZ11" i="31"/>
  <c r="BA11" i="31"/>
  <c r="BB11" i="31"/>
  <c r="BC11" i="31"/>
  <c r="BD11" i="31"/>
  <c r="BE11" i="31"/>
  <c r="BF11" i="31"/>
  <c r="BG11" i="31"/>
  <c r="BH11" i="31"/>
  <c r="BI11" i="31"/>
  <c r="BJ11" i="31"/>
  <c r="BK11" i="31"/>
  <c r="BL11" i="31"/>
  <c r="BM11" i="31"/>
  <c r="BN11" i="31"/>
  <c r="BO11" i="31"/>
  <c r="BP11" i="31"/>
  <c r="BQ11" i="31"/>
  <c r="BR11" i="31"/>
  <c r="BS11" i="31"/>
  <c r="BT11" i="31"/>
  <c r="BU11" i="31"/>
  <c r="BV11" i="31"/>
  <c r="BW11" i="31"/>
  <c r="BX11" i="31"/>
  <c r="BY11" i="31"/>
  <c r="CA11" i="31"/>
  <c r="CB11" i="31"/>
  <c r="CC11" i="31"/>
  <c r="CD11" i="31"/>
  <c r="CE11" i="31"/>
  <c r="CF11" i="31"/>
  <c r="CG11" i="31"/>
  <c r="CH11" i="31"/>
  <c r="CI11" i="31"/>
  <c r="CJ11" i="31"/>
  <c r="CK11" i="31"/>
  <c r="CL11" i="31"/>
  <c r="CM11" i="31"/>
  <c r="CN11" i="31"/>
  <c r="CO11" i="31"/>
  <c r="CP11" i="31"/>
  <c r="CQ11" i="31"/>
  <c r="CR11" i="31"/>
  <c r="CS11" i="31"/>
  <c r="CT11" i="31"/>
  <c r="CU11" i="31"/>
  <c r="CV11" i="31"/>
  <c r="CW11" i="31"/>
  <c r="CX11" i="31"/>
  <c r="CY11" i="31"/>
  <c r="CZ11" i="31"/>
  <c r="DA11" i="31"/>
  <c r="DB11" i="31"/>
  <c r="DC11" i="31"/>
  <c r="DD11" i="31"/>
  <c r="DE11" i="31"/>
  <c r="DF11" i="31"/>
  <c r="DG11" i="31"/>
  <c r="DH11" i="31"/>
  <c r="DI11" i="31"/>
  <c r="DJ11" i="31"/>
  <c r="AT13" i="31"/>
  <c r="AU13" i="31"/>
  <c r="AV13" i="31"/>
  <c r="AW13" i="31"/>
  <c r="AX13" i="31"/>
  <c r="AY13" i="31"/>
  <c r="AZ13" i="31"/>
  <c r="BA13" i="31"/>
  <c r="BB13" i="31"/>
  <c r="BC13" i="31"/>
  <c r="BD13" i="31"/>
  <c r="BE13" i="31"/>
  <c r="BF13" i="31"/>
  <c r="BG13" i="31"/>
  <c r="BH13" i="31"/>
  <c r="BI13" i="31"/>
  <c r="BJ13" i="31"/>
  <c r="BK13" i="31"/>
  <c r="BL13" i="31"/>
  <c r="BM13" i="31"/>
  <c r="BN13" i="31"/>
  <c r="BO13" i="31"/>
  <c r="BP13" i="31"/>
  <c r="BQ13" i="31"/>
  <c r="BR13" i="31"/>
  <c r="BS13" i="31"/>
  <c r="BT13" i="31"/>
  <c r="BU13" i="31"/>
  <c r="BV13" i="31"/>
  <c r="BW13" i="31"/>
  <c r="BX13" i="31"/>
  <c r="BY13" i="31"/>
  <c r="CA13" i="31"/>
  <c r="CB13" i="31"/>
  <c r="CC13" i="31"/>
  <c r="CD13" i="31"/>
  <c r="CE13" i="31"/>
  <c r="CF13" i="31"/>
  <c r="CG13" i="31"/>
  <c r="CH13" i="31"/>
  <c r="CI13" i="31"/>
  <c r="CJ13" i="31"/>
  <c r="CK13" i="31"/>
  <c r="CL13" i="31"/>
  <c r="CM13" i="31"/>
  <c r="CN13" i="31"/>
  <c r="CO13" i="31"/>
  <c r="CP13" i="31"/>
  <c r="CQ13" i="31"/>
  <c r="CR13" i="31"/>
  <c r="CS13" i="31"/>
  <c r="CT13" i="31"/>
  <c r="CU13" i="31"/>
  <c r="CV13" i="31"/>
  <c r="CW13" i="31"/>
  <c r="CX13" i="31"/>
  <c r="CY13" i="31"/>
  <c r="CZ13" i="31"/>
  <c r="DA13" i="31"/>
  <c r="DB13" i="31"/>
  <c r="DC13" i="31"/>
  <c r="DD13" i="31"/>
  <c r="DE13" i="31"/>
  <c r="DF13" i="31"/>
  <c r="DG13" i="31"/>
  <c r="DH13" i="31"/>
  <c r="DI13" i="31"/>
  <c r="DJ13" i="31"/>
  <c r="AT15" i="31"/>
  <c r="AU15" i="31"/>
  <c r="AV15" i="31"/>
  <c r="AW15" i="31"/>
  <c r="AX15" i="31"/>
  <c r="AY15" i="31"/>
  <c r="AZ15" i="31"/>
  <c r="BA15" i="31"/>
  <c r="BB15" i="31"/>
  <c r="BC15" i="31"/>
  <c r="BD15" i="31"/>
  <c r="BE15" i="31"/>
  <c r="BF15" i="31"/>
  <c r="BG15" i="31"/>
  <c r="BH15" i="31"/>
  <c r="BI15" i="31"/>
  <c r="BJ15" i="31"/>
  <c r="BK15" i="31"/>
  <c r="BL15" i="31"/>
  <c r="BM15" i="31"/>
  <c r="BN15" i="31"/>
  <c r="BO15" i="31"/>
  <c r="BP15" i="31"/>
  <c r="BQ15" i="31"/>
  <c r="BR15" i="31"/>
  <c r="BS15" i="31"/>
  <c r="BT15" i="31"/>
  <c r="BU15" i="31"/>
  <c r="BV15" i="31"/>
  <c r="BW15" i="31"/>
  <c r="BX15" i="31"/>
  <c r="BY15" i="31"/>
  <c r="CA15" i="31"/>
  <c r="CB15" i="31"/>
  <c r="CC15" i="31"/>
  <c r="CD15" i="31"/>
  <c r="CE15" i="31"/>
  <c r="CF15" i="31"/>
  <c r="CG15" i="31"/>
  <c r="CH15" i="31"/>
  <c r="CI15" i="31"/>
  <c r="CJ15" i="31"/>
  <c r="CK15" i="31"/>
  <c r="CL15" i="31"/>
  <c r="CM15" i="31"/>
  <c r="CN15" i="31"/>
  <c r="CO15" i="31"/>
  <c r="CP15" i="31"/>
  <c r="CQ15" i="31"/>
  <c r="CR15" i="31"/>
  <c r="CS15" i="31"/>
  <c r="CT15" i="31"/>
  <c r="CU15" i="31"/>
  <c r="CV15" i="31"/>
  <c r="CW15" i="31"/>
  <c r="CX15" i="31"/>
  <c r="CY15" i="31"/>
  <c r="CZ15" i="31"/>
  <c r="DA15" i="31"/>
  <c r="DB15" i="31"/>
  <c r="DC15" i="31"/>
  <c r="DD15" i="31"/>
  <c r="DE15" i="31"/>
  <c r="DF15" i="31"/>
  <c r="DG15" i="31"/>
  <c r="DH15" i="31"/>
  <c r="DI15" i="31"/>
  <c r="DJ15" i="31"/>
  <c r="AT17" i="31"/>
  <c r="AU17" i="31"/>
  <c r="AV17" i="31"/>
  <c r="AW17" i="31"/>
  <c r="AX17" i="31"/>
  <c r="AY17" i="31"/>
  <c r="AZ17" i="31"/>
  <c r="BA17" i="31"/>
  <c r="BB17" i="31"/>
  <c r="BC17" i="31"/>
  <c r="BD17" i="31"/>
  <c r="BE17" i="31"/>
  <c r="BF17" i="31"/>
  <c r="BG17" i="31"/>
  <c r="BH17" i="31"/>
  <c r="BI17" i="31"/>
  <c r="BJ17" i="31"/>
  <c r="BK17" i="31"/>
  <c r="BL17" i="31"/>
  <c r="BM17" i="31"/>
  <c r="BN17" i="31"/>
  <c r="BO17" i="31"/>
  <c r="BP17" i="31"/>
  <c r="BQ17" i="31"/>
  <c r="BR17" i="31"/>
  <c r="BS17" i="31"/>
  <c r="BT17" i="31"/>
  <c r="BU17" i="31"/>
  <c r="BV17" i="31"/>
  <c r="BW17" i="31"/>
  <c r="BX17" i="31"/>
  <c r="BY17" i="31"/>
  <c r="CA17" i="31"/>
  <c r="CB17" i="31"/>
  <c r="CC17" i="31"/>
  <c r="CD17" i="31"/>
  <c r="CE17" i="31"/>
  <c r="CF17" i="31"/>
  <c r="CG17" i="31"/>
  <c r="CH17" i="31"/>
  <c r="CI17" i="31"/>
  <c r="CJ17" i="31"/>
  <c r="CK17" i="31"/>
  <c r="CL17" i="31"/>
  <c r="CM17" i="31"/>
  <c r="CN17" i="31"/>
  <c r="CO17" i="31"/>
  <c r="CP17" i="31"/>
  <c r="CQ17" i="31"/>
  <c r="CR17" i="31"/>
  <c r="CS17" i="31"/>
  <c r="CT17" i="31"/>
  <c r="CU17" i="31"/>
  <c r="CV17" i="31"/>
  <c r="CW17" i="31"/>
  <c r="CX17" i="31"/>
  <c r="CY17" i="31"/>
  <c r="CZ17" i="31"/>
  <c r="DA17" i="31"/>
  <c r="DB17" i="31"/>
  <c r="DC17" i="31"/>
  <c r="DD17" i="31"/>
  <c r="DE17" i="31"/>
  <c r="DF17" i="31"/>
  <c r="DG17" i="31"/>
  <c r="DH17" i="31"/>
  <c r="DI17" i="31"/>
  <c r="DJ17" i="31"/>
  <c r="AT19" i="31"/>
  <c r="AU19" i="31"/>
  <c r="AV19" i="31"/>
  <c r="AW19" i="31"/>
  <c r="AX19" i="31"/>
  <c r="AY19" i="31"/>
  <c r="AZ19" i="31"/>
  <c r="BA19" i="31"/>
  <c r="BB19" i="31"/>
  <c r="BC19" i="31"/>
  <c r="BD19" i="31"/>
  <c r="BE19" i="31"/>
  <c r="BF19" i="31"/>
  <c r="BG19" i="31"/>
  <c r="BH19" i="31"/>
  <c r="BI19" i="31"/>
  <c r="BJ19" i="31"/>
  <c r="BK19" i="31"/>
  <c r="BL19" i="31"/>
  <c r="BM19" i="31"/>
  <c r="BN19" i="31"/>
  <c r="BO19" i="31"/>
  <c r="BP19" i="31"/>
  <c r="BQ19" i="31"/>
  <c r="BR19" i="31"/>
  <c r="BS19" i="31"/>
  <c r="BT19" i="31"/>
  <c r="BU19" i="31"/>
  <c r="BV19" i="31"/>
  <c r="BW19" i="31"/>
  <c r="BX19" i="31"/>
  <c r="BY19" i="31"/>
  <c r="CA19" i="31"/>
  <c r="CB19" i="31"/>
  <c r="CC19" i="31"/>
  <c r="CD19" i="31"/>
  <c r="CE19" i="31"/>
  <c r="CF19" i="31"/>
  <c r="CG19" i="31"/>
  <c r="CH19" i="31"/>
  <c r="CI19" i="31"/>
  <c r="CJ19" i="31"/>
  <c r="CK19" i="31"/>
  <c r="CL19" i="31"/>
  <c r="CM19" i="31"/>
  <c r="CN19" i="31"/>
  <c r="CO19" i="31"/>
  <c r="CP19" i="31"/>
  <c r="CQ19" i="31"/>
  <c r="CR19" i="31"/>
  <c r="CS19" i="31"/>
  <c r="CT19" i="31"/>
  <c r="CU19" i="31"/>
  <c r="CV19" i="31"/>
  <c r="CW19" i="31"/>
  <c r="CX19" i="31"/>
  <c r="CY19" i="31"/>
  <c r="CZ19" i="31"/>
  <c r="DA19" i="31"/>
  <c r="DB19" i="31"/>
  <c r="DC19" i="31"/>
  <c r="DD19" i="31"/>
  <c r="DE19" i="31"/>
  <c r="DF19" i="31"/>
  <c r="DG19" i="31"/>
  <c r="DH19" i="31"/>
  <c r="DI19" i="31"/>
  <c r="DJ19" i="31"/>
  <c r="AT21" i="31"/>
  <c r="AU21" i="31"/>
  <c r="AV21" i="31"/>
  <c r="AW21" i="31"/>
  <c r="AX21" i="31"/>
  <c r="AY21" i="31"/>
  <c r="AZ21" i="31"/>
  <c r="BA21" i="31"/>
  <c r="BB21" i="31"/>
  <c r="BC21" i="31"/>
  <c r="BD21" i="31"/>
  <c r="BE21" i="31"/>
  <c r="BF21" i="31"/>
  <c r="BG21" i="31"/>
  <c r="BH21" i="31"/>
  <c r="BI21" i="31"/>
  <c r="BJ21" i="31"/>
  <c r="BK21" i="31"/>
  <c r="BL21" i="31"/>
  <c r="BM21" i="31"/>
  <c r="BN21" i="31"/>
  <c r="BO21" i="31"/>
  <c r="BP21" i="31"/>
  <c r="BQ21" i="31"/>
  <c r="BR21" i="31"/>
  <c r="BS21" i="31"/>
  <c r="BT21" i="31"/>
  <c r="BU21" i="31"/>
  <c r="BV21" i="31"/>
  <c r="BW21" i="31"/>
  <c r="BX21" i="31"/>
  <c r="BY21" i="31"/>
  <c r="CA21" i="31"/>
  <c r="CB21" i="31"/>
  <c r="CC21" i="31"/>
  <c r="CD21" i="31"/>
  <c r="CE21" i="31"/>
  <c r="CF21" i="31"/>
  <c r="CG21" i="31"/>
  <c r="CH21" i="31"/>
  <c r="CI21" i="31"/>
  <c r="CJ21" i="31"/>
  <c r="CK21" i="31"/>
  <c r="CL21" i="31"/>
  <c r="CM21" i="31"/>
  <c r="CN21" i="31"/>
  <c r="CO21" i="31"/>
  <c r="CP21" i="31"/>
  <c r="CQ21" i="31"/>
  <c r="CR21" i="31"/>
  <c r="CS21" i="31"/>
  <c r="CT21" i="31"/>
  <c r="CU21" i="31"/>
  <c r="CV21" i="31"/>
  <c r="CW21" i="31"/>
  <c r="CX21" i="31"/>
  <c r="CY21" i="31"/>
  <c r="CZ21" i="31"/>
  <c r="DA21" i="31"/>
  <c r="DB21" i="31"/>
  <c r="DC21" i="31"/>
  <c r="DD21" i="31"/>
  <c r="DE21" i="31"/>
  <c r="DF21" i="31"/>
  <c r="DG21" i="31"/>
  <c r="DH21" i="31"/>
  <c r="DI21" i="31"/>
  <c r="DJ21" i="31"/>
  <c r="AT23" i="31"/>
  <c r="AU23" i="31"/>
  <c r="AV23" i="31"/>
  <c r="AW23" i="31"/>
  <c r="AX23" i="31"/>
  <c r="AY23" i="31"/>
  <c r="AZ23" i="31"/>
  <c r="BA23" i="31"/>
  <c r="BB23" i="31"/>
  <c r="BC23" i="31"/>
  <c r="BD23" i="31"/>
  <c r="BE23" i="31"/>
  <c r="BF23" i="31"/>
  <c r="BG23" i="31"/>
  <c r="BH23" i="31"/>
  <c r="BI23" i="31"/>
  <c r="BJ23" i="31"/>
  <c r="BK23" i="31"/>
  <c r="BL23" i="31"/>
  <c r="BM23" i="31"/>
  <c r="BN23" i="31"/>
  <c r="BO23" i="31"/>
  <c r="BP23" i="31"/>
  <c r="BQ23" i="31"/>
  <c r="BR23" i="31"/>
  <c r="BS23" i="31"/>
  <c r="BT23" i="31"/>
  <c r="BU23" i="31"/>
  <c r="BV23" i="31"/>
  <c r="BW23" i="31"/>
  <c r="BX23" i="31"/>
  <c r="BY23" i="31"/>
  <c r="CA23" i="31"/>
  <c r="CB23" i="31"/>
  <c r="CC23" i="31"/>
  <c r="CD23" i="31"/>
  <c r="CE23" i="31"/>
  <c r="CF23" i="31"/>
  <c r="CG23" i="31"/>
  <c r="CH23" i="31"/>
  <c r="CI23" i="31"/>
  <c r="CJ23" i="31"/>
  <c r="CK23" i="31"/>
  <c r="CL23" i="31"/>
  <c r="CM23" i="31"/>
  <c r="CN23" i="31"/>
  <c r="CO23" i="31"/>
  <c r="CP23" i="31"/>
  <c r="CQ23" i="31"/>
  <c r="CR23" i="31"/>
  <c r="CS23" i="31"/>
  <c r="CT23" i="31"/>
  <c r="CU23" i="31"/>
  <c r="CV23" i="31"/>
  <c r="CW23" i="31"/>
  <c r="CX23" i="31"/>
  <c r="CY23" i="31"/>
  <c r="CZ23" i="31"/>
  <c r="DA23" i="31"/>
  <c r="DB23" i="31"/>
  <c r="DC23" i="31"/>
  <c r="DD23" i="31"/>
  <c r="DE23" i="31"/>
  <c r="DF23" i="31"/>
  <c r="DG23" i="31"/>
  <c r="DH23" i="31"/>
  <c r="DI23" i="31"/>
  <c r="DJ23" i="31"/>
  <c r="AT25" i="31"/>
  <c r="AU25" i="31"/>
  <c r="AV25" i="31"/>
  <c r="AW25" i="31"/>
  <c r="AX25" i="31"/>
  <c r="AY25" i="31"/>
  <c r="AZ25" i="31"/>
  <c r="BA25" i="31"/>
  <c r="BB25" i="31"/>
  <c r="BC25" i="31"/>
  <c r="BD25" i="31"/>
  <c r="BE25" i="31"/>
  <c r="BF25" i="31"/>
  <c r="BG25" i="31"/>
  <c r="BH25" i="31"/>
  <c r="BI25" i="31"/>
  <c r="BJ25" i="31"/>
  <c r="BK25" i="31"/>
  <c r="BL25" i="31"/>
  <c r="BM25" i="31"/>
  <c r="BN25" i="31"/>
  <c r="BO25" i="31"/>
  <c r="BP25" i="31"/>
  <c r="BQ25" i="31"/>
  <c r="BR25" i="31"/>
  <c r="BS25" i="31"/>
  <c r="BT25" i="31"/>
  <c r="BU25" i="31"/>
  <c r="BV25" i="31"/>
  <c r="BW25" i="31"/>
  <c r="BX25" i="31"/>
  <c r="BY25" i="31"/>
  <c r="CA25" i="31"/>
  <c r="CB25" i="31"/>
  <c r="CC25" i="31"/>
  <c r="CD25" i="31"/>
  <c r="CE25" i="31"/>
  <c r="CF25" i="31"/>
  <c r="CG25" i="31"/>
  <c r="CH25" i="31"/>
  <c r="CI25" i="31"/>
  <c r="CJ25" i="31"/>
  <c r="CK25" i="31"/>
  <c r="CL25" i="31"/>
  <c r="CM25" i="31"/>
  <c r="CN25" i="31"/>
  <c r="CO25" i="31"/>
  <c r="CP25" i="31"/>
  <c r="CQ25" i="31"/>
  <c r="CR25" i="31"/>
  <c r="CS25" i="31"/>
  <c r="CT25" i="31"/>
  <c r="CU25" i="31"/>
  <c r="CV25" i="31"/>
  <c r="CW25" i="31"/>
  <c r="CX25" i="31"/>
  <c r="CY25" i="31"/>
  <c r="CZ25" i="31"/>
  <c r="DA25" i="31"/>
  <c r="DB25" i="31"/>
  <c r="DC25" i="31"/>
  <c r="DD25" i="31"/>
  <c r="DE25" i="31"/>
  <c r="DF25" i="31"/>
  <c r="DG25" i="31"/>
  <c r="DH25" i="31"/>
  <c r="DI25" i="31"/>
  <c r="DJ25" i="31"/>
  <c r="AT27" i="31"/>
  <c r="AU27" i="31"/>
  <c r="AV27" i="31"/>
  <c r="AW27" i="31"/>
  <c r="AX27" i="31"/>
  <c r="AY27" i="31"/>
  <c r="AZ27" i="31"/>
  <c r="BA27" i="31"/>
  <c r="BB27" i="31"/>
  <c r="BC27" i="31"/>
  <c r="BD27" i="31"/>
  <c r="BE27" i="31"/>
  <c r="BF27" i="31"/>
  <c r="BG27" i="31"/>
  <c r="BH27" i="31"/>
  <c r="BI27" i="31"/>
  <c r="BJ27" i="31"/>
  <c r="BK27" i="31"/>
  <c r="BL27" i="31"/>
  <c r="BM27" i="31"/>
  <c r="BN27" i="31"/>
  <c r="BO27" i="31"/>
  <c r="BP27" i="31"/>
  <c r="BQ27" i="31"/>
  <c r="BR27" i="31"/>
  <c r="BS27" i="31"/>
  <c r="BT27" i="31"/>
  <c r="BU27" i="31"/>
  <c r="BV27" i="31"/>
  <c r="BW27" i="31"/>
  <c r="BX27" i="31"/>
  <c r="BY27" i="31"/>
  <c r="CA27" i="31"/>
  <c r="CB27" i="31"/>
  <c r="CC27" i="31"/>
  <c r="CD27" i="31"/>
  <c r="CE27" i="31"/>
  <c r="CF27" i="31"/>
  <c r="CG27" i="31"/>
  <c r="CH27" i="31"/>
  <c r="CI27" i="31"/>
  <c r="CJ27" i="31"/>
  <c r="CK27" i="31"/>
  <c r="CL27" i="31"/>
  <c r="CM27" i="31"/>
  <c r="CN27" i="31"/>
  <c r="CO27" i="31"/>
  <c r="CP27" i="31"/>
  <c r="CQ27" i="31"/>
  <c r="CR27" i="31"/>
  <c r="CS27" i="31"/>
  <c r="CT27" i="31"/>
  <c r="CU27" i="31"/>
  <c r="CV27" i="31"/>
  <c r="CW27" i="31"/>
  <c r="CX27" i="31"/>
  <c r="CY27" i="31"/>
  <c r="CZ27" i="31"/>
  <c r="DA27" i="31"/>
  <c r="DB27" i="31"/>
  <c r="DC27" i="31"/>
  <c r="DD27" i="31"/>
  <c r="DE27" i="31"/>
  <c r="DF27" i="31"/>
  <c r="DG27" i="31"/>
  <c r="DH27" i="31"/>
  <c r="DI27" i="31"/>
  <c r="DJ27" i="31"/>
  <c r="AT29" i="31"/>
  <c r="AU29" i="31"/>
  <c r="E3" i="32"/>
  <c r="AV29" i="31"/>
  <c r="AW29" i="31"/>
  <c r="AX29" i="31"/>
  <c r="AY29" i="31"/>
  <c r="AZ29" i="31"/>
  <c r="BA29" i="31"/>
  <c r="BB29" i="31"/>
  <c r="BC29" i="31"/>
  <c r="BD29" i="31"/>
  <c r="BE29" i="31"/>
  <c r="BF29" i="31"/>
  <c r="BG29" i="31"/>
  <c r="BH29" i="31"/>
  <c r="BI29" i="31"/>
  <c r="BJ29" i="31"/>
  <c r="BK29" i="31"/>
  <c r="BL29" i="31"/>
  <c r="BM29" i="31"/>
  <c r="BN29" i="31"/>
  <c r="BO29" i="31"/>
  <c r="BP29" i="31"/>
  <c r="BQ29" i="31"/>
  <c r="BR29" i="31"/>
  <c r="BS29" i="31"/>
  <c r="BT29" i="31"/>
  <c r="BU29" i="31"/>
  <c r="BV29" i="31"/>
  <c r="BW29" i="31"/>
  <c r="BX29" i="31"/>
  <c r="BY29" i="31"/>
  <c r="CA29" i="31"/>
  <c r="CB29" i="31"/>
  <c r="CC29" i="31"/>
  <c r="CD29" i="31"/>
  <c r="CE29" i="31"/>
  <c r="CF29" i="31"/>
  <c r="CG29" i="31"/>
  <c r="CH29" i="31"/>
  <c r="CI29" i="31"/>
  <c r="CJ29" i="31"/>
  <c r="CK29" i="31"/>
  <c r="CL29" i="31"/>
  <c r="CM29" i="31"/>
  <c r="CN29" i="31"/>
  <c r="CO29" i="31"/>
  <c r="CP29" i="31"/>
  <c r="CQ29" i="31"/>
  <c r="CR29" i="31"/>
  <c r="CS29" i="31"/>
  <c r="CT29" i="31"/>
  <c r="CU29" i="31"/>
  <c r="CV29" i="31"/>
  <c r="CW29" i="31"/>
  <c r="CX29" i="31"/>
  <c r="CY29" i="31"/>
  <c r="CZ29" i="31"/>
  <c r="DA29" i="31"/>
  <c r="DB29" i="31"/>
  <c r="DC29" i="31"/>
  <c r="DD29" i="31"/>
  <c r="DE29" i="31"/>
  <c r="DF29" i="31"/>
  <c r="DG29" i="31"/>
  <c r="DH29" i="31"/>
  <c r="DI29" i="31"/>
  <c r="DJ29" i="31"/>
  <c r="AT31" i="31"/>
  <c r="AU31" i="31"/>
  <c r="AV31" i="31"/>
  <c r="AW31" i="31"/>
  <c r="AX31" i="31"/>
  <c r="AY31" i="31"/>
  <c r="AZ31" i="31"/>
  <c r="BA31" i="31"/>
  <c r="BB31" i="31"/>
  <c r="BC31" i="31"/>
  <c r="BD31" i="31"/>
  <c r="BE31" i="31"/>
  <c r="BF31" i="31"/>
  <c r="BG31" i="31"/>
  <c r="BH31" i="31"/>
  <c r="BI31" i="31"/>
  <c r="BJ31" i="31"/>
  <c r="BK31" i="31"/>
  <c r="BL31" i="31"/>
  <c r="BM31" i="31"/>
  <c r="BN31" i="31"/>
  <c r="BO31" i="31"/>
  <c r="BP31" i="31"/>
  <c r="BQ31" i="31"/>
  <c r="BR31" i="31"/>
  <c r="BS31" i="31"/>
  <c r="BT31" i="31"/>
  <c r="BU31" i="31"/>
  <c r="BV31" i="31"/>
  <c r="BW31" i="31"/>
  <c r="BX31" i="31"/>
  <c r="BY31" i="31"/>
  <c r="CA31" i="31"/>
  <c r="CB31" i="31"/>
  <c r="CC31" i="31"/>
  <c r="CD31" i="31"/>
  <c r="CE31" i="31"/>
  <c r="CF31" i="31"/>
  <c r="CG31" i="31"/>
  <c r="CH31" i="31"/>
  <c r="CI31" i="31"/>
  <c r="CJ31" i="31"/>
  <c r="CK31" i="31"/>
  <c r="CL31" i="31"/>
  <c r="CM31" i="31"/>
  <c r="CN31" i="31"/>
  <c r="CO31" i="31"/>
  <c r="CP31" i="31"/>
  <c r="CQ31" i="31"/>
  <c r="CR31" i="31"/>
  <c r="CS31" i="31"/>
  <c r="CT31" i="31"/>
  <c r="CU31" i="31"/>
  <c r="CV31" i="31"/>
  <c r="CW31" i="31"/>
  <c r="CX31" i="31"/>
  <c r="CY31" i="31"/>
  <c r="CZ31" i="31"/>
  <c r="DA31" i="31"/>
  <c r="DB31" i="31"/>
  <c r="DC31" i="31"/>
  <c r="DD31" i="31"/>
  <c r="DE31" i="31"/>
  <c r="DF31" i="31"/>
  <c r="DG31" i="31"/>
  <c r="DH31" i="31"/>
  <c r="DI31" i="31"/>
  <c r="DJ31" i="31"/>
  <c r="AT33" i="31"/>
  <c r="AU33" i="31"/>
  <c r="AV33" i="31"/>
  <c r="AW33" i="31"/>
  <c r="AX33" i="31"/>
  <c r="AY33" i="31"/>
  <c r="AZ33" i="31"/>
  <c r="BA33" i="31"/>
  <c r="BB33" i="31"/>
  <c r="BC33" i="31"/>
  <c r="BD33" i="31"/>
  <c r="BE33" i="31"/>
  <c r="BF33" i="31"/>
  <c r="BG33" i="31"/>
  <c r="BH33" i="31"/>
  <c r="BI33" i="31"/>
  <c r="BJ33" i="31"/>
  <c r="BK33" i="31"/>
  <c r="BL33" i="31"/>
  <c r="BM33" i="31"/>
  <c r="BN33" i="31"/>
  <c r="BO33" i="31"/>
  <c r="BP33" i="31"/>
  <c r="BQ33" i="31"/>
  <c r="BR33" i="31"/>
  <c r="BS33" i="31"/>
  <c r="BT33" i="31"/>
  <c r="BU33" i="31"/>
  <c r="BV33" i="31"/>
  <c r="BW33" i="31"/>
  <c r="BX33" i="31"/>
  <c r="BY33" i="31"/>
  <c r="CA33" i="31"/>
  <c r="CB33" i="31"/>
  <c r="CC33" i="31"/>
  <c r="CD33" i="31"/>
  <c r="CE33" i="31"/>
  <c r="CF33" i="31"/>
  <c r="CG33" i="31"/>
  <c r="CH33" i="31"/>
  <c r="CI33" i="31"/>
  <c r="CJ33" i="31"/>
  <c r="CK33" i="31"/>
  <c r="CL33" i="31"/>
  <c r="CM33" i="31"/>
  <c r="CN33" i="31"/>
  <c r="CO33" i="31"/>
  <c r="CP33" i="31"/>
  <c r="CQ33" i="31"/>
  <c r="CR33" i="31"/>
  <c r="CS33" i="31"/>
  <c r="CT33" i="31"/>
  <c r="CU33" i="31"/>
  <c r="CV33" i="31"/>
  <c r="CW33" i="31"/>
  <c r="CX33" i="31"/>
  <c r="CY33" i="31"/>
  <c r="CZ33" i="31"/>
  <c r="DA33" i="31"/>
  <c r="DB33" i="31"/>
  <c r="DC33" i="31"/>
  <c r="DD33" i="31"/>
  <c r="DE33" i="31"/>
  <c r="DF33" i="31"/>
  <c r="DG33" i="31"/>
  <c r="DH33" i="31"/>
  <c r="DI33" i="31"/>
  <c r="DJ33" i="31"/>
  <c r="AT35" i="31"/>
  <c r="AU35" i="31"/>
  <c r="AV35" i="31"/>
  <c r="AW35" i="31"/>
  <c r="AX35" i="31"/>
  <c r="AY35" i="31"/>
  <c r="AZ35" i="31"/>
  <c r="BA35" i="31"/>
  <c r="BB35" i="31"/>
  <c r="BC35" i="31"/>
  <c r="BD35" i="31"/>
  <c r="BE35" i="31"/>
  <c r="BF35" i="31"/>
  <c r="BG35" i="31"/>
  <c r="BH35" i="31"/>
  <c r="BI35" i="31"/>
  <c r="BJ35" i="31"/>
  <c r="BK35" i="31"/>
  <c r="BL35" i="31"/>
  <c r="BM35" i="31"/>
  <c r="BN35" i="31"/>
  <c r="BO35" i="31"/>
  <c r="BP35" i="31"/>
  <c r="BQ35" i="31"/>
  <c r="BR35" i="31"/>
  <c r="BS35" i="31"/>
  <c r="BT35" i="31"/>
  <c r="BU35" i="31"/>
  <c r="BV35" i="31"/>
  <c r="BW35" i="31"/>
  <c r="BX35" i="31"/>
  <c r="BY35" i="31"/>
  <c r="CA35" i="31"/>
  <c r="CB35" i="31"/>
  <c r="CC35" i="31"/>
  <c r="CD35" i="31"/>
  <c r="CE35" i="31"/>
  <c r="CF35" i="31"/>
  <c r="CG35" i="31"/>
  <c r="CH35" i="31"/>
  <c r="CI35" i="31"/>
  <c r="CJ35" i="31"/>
  <c r="CK35" i="31"/>
  <c r="CL35" i="31"/>
  <c r="CM35" i="31"/>
  <c r="CN35" i="31"/>
  <c r="CO35" i="31"/>
  <c r="CP35" i="31"/>
  <c r="CQ35" i="31"/>
  <c r="CR35" i="31"/>
  <c r="CS35" i="31"/>
  <c r="CT35" i="31"/>
  <c r="CU35" i="31"/>
  <c r="CV35" i="31"/>
  <c r="CW35" i="31"/>
  <c r="CX35" i="31"/>
  <c r="CY35" i="31"/>
  <c r="CZ35" i="31"/>
  <c r="DA35" i="31"/>
  <c r="DB35" i="31"/>
  <c r="DC35" i="31"/>
  <c r="DD35" i="31"/>
  <c r="DE35" i="31"/>
  <c r="DF35" i="31"/>
  <c r="DG35" i="31"/>
  <c r="DH35" i="31"/>
  <c r="DI35" i="31"/>
  <c r="DJ35" i="31"/>
  <c r="AT37" i="31"/>
  <c r="AU37" i="31"/>
  <c r="AV37" i="31"/>
  <c r="AW37" i="31"/>
  <c r="AX37" i="31"/>
  <c r="AY37" i="31"/>
  <c r="AZ37" i="31"/>
  <c r="BA37" i="31"/>
  <c r="BB37" i="31"/>
  <c r="BC37" i="31"/>
  <c r="BD37" i="31"/>
  <c r="BE37" i="31"/>
  <c r="BF37" i="31"/>
  <c r="BG37" i="31"/>
  <c r="BH37" i="31"/>
  <c r="BI37" i="31"/>
  <c r="BJ37" i="31"/>
  <c r="BK37" i="31"/>
  <c r="BL37" i="31"/>
  <c r="BM37" i="31"/>
  <c r="BN37" i="31"/>
  <c r="BO37" i="31"/>
  <c r="BP37" i="31"/>
  <c r="BQ37" i="31"/>
  <c r="BR37" i="31"/>
  <c r="BS37" i="31"/>
  <c r="BT37" i="31"/>
  <c r="BU37" i="31"/>
  <c r="BV37" i="31"/>
  <c r="BW37" i="31"/>
  <c r="BX37" i="31"/>
  <c r="BY37" i="31"/>
  <c r="CA37" i="31"/>
  <c r="CB37" i="31"/>
  <c r="CC37" i="31"/>
  <c r="CD37" i="31"/>
  <c r="CE37" i="31"/>
  <c r="CF37" i="31"/>
  <c r="CG37" i="31"/>
  <c r="CH37" i="31"/>
  <c r="CI37" i="31"/>
  <c r="CJ37" i="31"/>
  <c r="CK37" i="31"/>
  <c r="CL37" i="31"/>
  <c r="CM37" i="31"/>
  <c r="CN37" i="31"/>
  <c r="CO37" i="31"/>
  <c r="CP37" i="31"/>
  <c r="CQ37" i="31"/>
  <c r="CR37" i="31"/>
  <c r="CS37" i="31"/>
  <c r="CT37" i="31"/>
  <c r="CU37" i="31"/>
  <c r="CV37" i="31"/>
  <c r="CW37" i="31"/>
  <c r="CX37" i="31"/>
  <c r="CY37" i="31"/>
  <c r="CZ37" i="31"/>
  <c r="DA37" i="31"/>
  <c r="DB37" i="31"/>
  <c r="DC37" i="31"/>
  <c r="DD37" i="31"/>
  <c r="DE37" i="31"/>
  <c r="DF37" i="31"/>
  <c r="DG37" i="31"/>
  <c r="DH37" i="31"/>
  <c r="DI37" i="31"/>
  <c r="DJ37" i="31"/>
  <c r="AT39" i="31"/>
  <c r="AU39" i="31"/>
  <c r="AV39" i="31"/>
  <c r="AW39" i="31"/>
  <c r="AX39" i="31"/>
  <c r="AY39" i="31"/>
  <c r="AZ39" i="31"/>
  <c r="BA39" i="31"/>
  <c r="BB39" i="31"/>
  <c r="BC39" i="31"/>
  <c r="BD39" i="31"/>
  <c r="BE39" i="31"/>
  <c r="BF39" i="31"/>
  <c r="BG39" i="31"/>
  <c r="BH39" i="31"/>
  <c r="BI39" i="31"/>
  <c r="BJ39" i="31"/>
  <c r="BK39" i="31"/>
  <c r="BL39" i="31"/>
  <c r="BM39" i="31"/>
  <c r="BN39" i="31"/>
  <c r="BO39" i="31"/>
  <c r="BP39" i="31"/>
  <c r="BQ39" i="31"/>
  <c r="BR39" i="31"/>
  <c r="BS39" i="31"/>
  <c r="BT39" i="31"/>
  <c r="BU39" i="31"/>
  <c r="BV39" i="31"/>
  <c r="BW39" i="31"/>
  <c r="BX39" i="31"/>
  <c r="BY39" i="31"/>
  <c r="CA39" i="31"/>
  <c r="CB39" i="31"/>
  <c r="CC39" i="31"/>
  <c r="CD39" i="31"/>
  <c r="CE39" i="31"/>
  <c r="CF39" i="31"/>
  <c r="CG39" i="31"/>
  <c r="CH39" i="31"/>
  <c r="CI39" i="31"/>
  <c r="CJ39" i="31"/>
  <c r="CK39" i="31"/>
  <c r="CL39" i="31"/>
  <c r="CM39" i="31"/>
  <c r="CN39" i="31"/>
  <c r="CO39" i="31"/>
  <c r="CP39" i="31"/>
  <c r="CQ39" i="31"/>
  <c r="CR39" i="31"/>
  <c r="CS39" i="31"/>
  <c r="CT39" i="31"/>
  <c r="CU39" i="31"/>
  <c r="CV39" i="31"/>
  <c r="CW39" i="31"/>
  <c r="CX39" i="31"/>
  <c r="CY39" i="31"/>
  <c r="CZ39" i="31"/>
  <c r="DA39" i="31"/>
  <c r="DB39" i="31"/>
  <c r="DC39" i="31"/>
  <c r="DD39" i="31"/>
  <c r="DE39" i="31"/>
  <c r="DF39" i="31"/>
  <c r="DG39" i="31"/>
  <c r="DH39" i="31"/>
  <c r="DI39" i="31"/>
  <c r="DJ39" i="31"/>
  <c r="AT41" i="31"/>
  <c r="AU41" i="31"/>
  <c r="AV41" i="31"/>
  <c r="AW41" i="31"/>
  <c r="AX41" i="31"/>
  <c r="AY41" i="31"/>
  <c r="AZ41" i="31"/>
  <c r="BA41" i="31"/>
  <c r="BB41" i="31"/>
  <c r="BC41" i="31"/>
  <c r="BD41" i="31"/>
  <c r="BE41" i="31"/>
  <c r="BF41" i="31"/>
  <c r="BG41" i="31"/>
  <c r="BH41" i="31"/>
  <c r="BI41" i="31"/>
  <c r="BJ41" i="31"/>
  <c r="BK41" i="31"/>
  <c r="BL41" i="31"/>
  <c r="BM41" i="31"/>
  <c r="BN41" i="31"/>
  <c r="BO41" i="31"/>
  <c r="BP41" i="31"/>
  <c r="BQ41" i="31"/>
  <c r="BR41" i="31"/>
  <c r="BS41" i="31"/>
  <c r="BT41" i="31"/>
  <c r="BU41" i="31"/>
  <c r="BV41" i="31"/>
  <c r="BW41" i="31"/>
  <c r="BX41" i="31"/>
  <c r="BY41" i="31"/>
  <c r="CA41" i="31"/>
  <c r="CB41" i="31"/>
  <c r="CC41" i="31"/>
  <c r="CD41" i="31"/>
  <c r="CE41" i="31"/>
  <c r="CF41" i="31"/>
  <c r="CG41" i="31"/>
  <c r="CH41" i="31"/>
  <c r="CI41" i="31"/>
  <c r="CJ41" i="31"/>
  <c r="CK41" i="31"/>
  <c r="CL41" i="31"/>
  <c r="CM41" i="31"/>
  <c r="CN41" i="31"/>
  <c r="CO41" i="31"/>
  <c r="CP41" i="31"/>
  <c r="CQ41" i="31"/>
  <c r="CR41" i="31"/>
  <c r="CS41" i="31"/>
  <c r="CT41" i="31"/>
  <c r="CU41" i="31"/>
  <c r="CV41" i="31"/>
  <c r="CW41" i="31"/>
  <c r="CX41" i="31"/>
  <c r="CY41" i="31"/>
  <c r="CZ41" i="31"/>
  <c r="DA41" i="31"/>
  <c r="DB41" i="31"/>
  <c r="DC41" i="31"/>
  <c r="DD41" i="31"/>
  <c r="DE41" i="31"/>
  <c r="DF41" i="31"/>
  <c r="DG41" i="31"/>
  <c r="DH41" i="31"/>
  <c r="DI41" i="31"/>
  <c r="DJ41"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BQ43" i="31"/>
  <c r="BR43" i="31"/>
  <c r="BS43" i="31"/>
  <c r="BT43" i="31"/>
  <c r="BU43" i="31"/>
  <c r="BV43" i="31"/>
  <c r="BW43" i="31"/>
  <c r="BX43" i="31"/>
  <c r="BY43" i="31"/>
  <c r="CA43" i="31"/>
  <c r="CB43" i="31"/>
  <c r="CC43" i="31"/>
  <c r="CD43" i="31"/>
  <c r="CE43" i="31"/>
  <c r="CF43" i="31"/>
  <c r="CG43" i="31"/>
  <c r="CH43" i="31"/>
  <c r="CI43" i="31"/>
  <c r="CJ43" i="31"/>
  <c r="CK43" i="31"/>
  <c r="CL43" i="31"/>
  <c r="CM43" i="31"/>
  <c r="CN43" i="31"/>
  <c r="CO43" i="31"/>
  <c r="CP43" i="31"/>
  <c r="CQ43" i="31"/>
  <c r="CR43" i="31"/>
  <c r="CS43" i="31"/>
  <c r="CT43" i="31"/>
  <c r="CU43" i="31"/>
  <c r="CV43" i="31"/>
  <c r="CW43" i="31"/>
  <c r="CX43" i="31"/>
  <c r="CY43" i="31"/>
  <c r="CZ43" i="31"/>
  <c r="DA43" i="31"/>
  <c r="DB43" i="31"/>
  <c r="DC43" i="31"/>
  <c r="DD43" i="31"/>
  <c r="DE43" i="31"/>
  <c r="DF43" i="31"/>
  <c r="DG43" i="31"/>
  <c r="DH43" i="31"/>
  <c r="DI43" i="31"/>
  <c r="DJ43"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BQ45" i="31"/>
  <c r="BR45" i="31"/>
  <c r="BS45" i="31"/>
  <c r="BT45" i="31"/>
  <c r="BU45" i="31"/>
  <c r="BV45" i="31"/>
  <c r="BW45" i="31"/>
  <c r="BX45" i="31"/>
  <c r="BY45" i="31"/>
  <c r="CA45" i="31"/>
  <c r="CB45" i="31"/>
  <c r="CC45" i="31"/>
  <c r="CD45" i="31"/>
  <c r="CE45" i="31"/>
  <c r="CF45" i="31"/>
  <c r="F5" i="32"/>
  <c r="CG45" i="31"/>
  <c r="CH45" i="31"/>
  <c r="CI45" i="31"/>
  <c r="CJ45" i="31"/>
  <c r="CK45" i="31"/>
  <c r="CL45" i="31"/>
  <c r="CM45" i="31"/>
  <c r="CN45" i="31"/>
  <c r="CO45" i="31"/>
  <c r="CP45" i="31"/>
  <c r="CQ45" i="31"/>
  <c r="CR45" i="31"/>
  <c r="CS45" i="31"/>
  <c r="CT45" i="31"/>
  <c r="CU45" i="31"/>
  <c r="CV45" i="31"/>
  <c r="CW45" i="31"/>
  <c r="CX45" i="31"/>
  <c r="CY45" i="31"/>
  <c r="CZ45" i="31"/>
  <c r="DA45" i="31"/>
  <c r="DB45" i="31"/>
  <c r="DC45" i="31"/>
  <c r="DD45" i="31"/>
  <c r="DE45" i="31"/>
  <c r="DF45" i="31"/>
  <c r="DG45" i="31"/>
  <c r="DH45" i="31"/>
  <c r="DI45" i="31"/>
  <c r="DJ45" i="31"/>
  <c r="AT47" i="31"/>
  <c r="AU47" i="31"/>
  <c r="AV47" i="31"/>
  <c r="AW47" i="31"/>
  <c r="AX47" i="31"/>
  <c r="AY47" i="31"/>
  <c r="AZ47" i="31"/>
  <c r="BA47" i="31"/>
  <c r="BB47" i="31"/>
  <c r="BC47" i="31"/>
  <c r="BD47" i="31"/>
  <c r="BE47" i="31"/>
  <c r="BF47" i="31"/>
  <c r="BG47" i="31"/>
  <c r="BH47" i="31"/>
  <c r="BI47" i="31"/>
  <c r="BJ47" i="31"/>
  <c r="BK47" i="31"/>
  <c r="BL47" i="31"/>
  <c r="BM47" i="31"/>
  <c r="BN47" i="31"/>
  <c r="BO47" i="31"/>
  <c r="BP47" i="31"/>
  <c r="BQ47" i="31"/>
  <c r="BR47" i="31"/>
  <c r="BS47" i="31"/>
  <c r="BT47" i="31"/>
  <c r="BU47" i="31"/>
  <c r="BV47" i="31"/>
  <c r="BW47" i="31"/>
  <c r="BX47" i="31"/>
  <c r="BY47" i="31"/>
  <c r="CA47" i="31"/>
  <c r="CB47" i="31"/>
  <c r="CC47" i="31"/>
  <c r="CD47" i="31"/>
  <c r="CE47" i="31"/>
  <c r="CF47" i="31"/>
  <c r="CG47" i="31"/>
  <c r="CH47" i="31"/>
  <c r="CI47" i="31"/>
  <c r="CJ47" i="31"/>
  <c r="CK47" i="31"/>
  <c r="CL47" i="31"/>
  <c r="CM47" i="31"/>
  <c r="CN47" i="31"/>
  <c r="CO47" i="31"/>
  <c r="CP47" i="31"/>
  <c r="CQ47" i="31"/>
  <c r="CR47" i="31"/>
  <c r="CS47" i="31"/>
  <c r="CT47" i="31"/>
  <c r="CU47" i="31"/>
  <c r="CV47" i="31"/>
  <c r="CW47" i="31"/>
  <c r="CX47" i="31"/>
  <c r="CY47" i="31"/>
  <c r="CZ47" i="31"/>
  <c r="DA47" i="31"/>
  <c r="DB47" i="31"/>
  <c r="DC47" i="31"/>
  <c r="DD47" i="31"/>
  <c r="DE47" i="31"/>
  <c r="DF47" i="31"/>
  <c r="DG47" i="31"/>
  <c r="DH47" i="31"/>
  <c r="DI47" i="31"/>
  <c r="DJ47"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BQ49" i="31"/>
  <c r="BR49" i="31"/>
  <c r="BS49" i="31"/>
  <c r="BT49" i="31"/>
  <c r="BU49" i="31"/>
  <c r="BV49" i="31"/>
  <c r="BW49" i="31"/>
  <c r="BX49" i="31"/>
  <c r="BY49" i="31"/>
  <c r="CA49" i="31"/>
  <c r="CB49" i="31"/>
  <c r="CC49" i="31"/>
  <c r="CD49" i="31"/>
  <c r="CE49" i="31"/>
  <c r="CF49" i="31"/>
  <c r="CG49" i="31"/>
  <c r="CH49" i="31"/>
  <c r="CI49" i="31"/>
  <c r="CJ49" i="31"/>
  <c r="CK49" i="31"/>
  <c r="CL49" i="31"/>
  <c r="CM49" i="31"/>
  <c r="CN49" i="31"/>
  <c r="CO49" i="31"/>
  <c r="CP49" i="31"/>
  <c r="CQ49" i="31"/>
  <c r="CR49" i="31"/>
  <c r="CS49" i="31"/>
  <c r="CT49" i="31"/>
  <c r="CU49" i="31"/>
  <c r="CV49" i="31"/>
  <c r="CW49" i="31"/>
  <c r="CX49" i="31"/>
  <c r="CY49" i="31"/>
  <c r="CZ49" i="31"/>
  <c r="DA49" i="31"/>
  <c r="DB49" i="31"/>
  <c r="DC49" i="31"/>
  <c r="DD49" i="31"/>
  <c r="DE49" i="31"/>
  <c r="DF49" i="31"/>
  <c r="DG49" i="31"/>
  <c r="DH49" i="31"/>
  <c r="DI49" i="31"/>
  <c r="DJ49" i="31"/>
  <c r="AT51" i="31"/>
  <c r="AU51" i="31"/>
  <c r="AV51" i="31"/>
  <c r="AW51" i="31"/>
  <c r="AX51" i="31"/>
  <c r="AY51" i="31"/>
  <c r="AZ51" i="31"/>
  <c r="BA51" i="31"/>
  <c r="BB51" i="31"/>
  <c r="BC51" i="31"/>
  <c r="BD51" i="31"/>
  <c r="BE51" i="31"/>
  <c r="BF51" i="31"/>
  <c r="BG51" i="31"/>
  <c r="BH51" i="31"/>
  <c r="BI51" i="31"/>
  <c r="BJ51" i="31"/>
  <c r="BK51" i="31"/>
  <c r="BL51" i="31"/>
  <c r="BM51" i="31"/>
  <c r="BN51" i="31"/>
  <c r="BO51" i="31"/>
  <c r="BP51" i="31"/>
  <c r="BQ51" i="31"/>
  <c r="BR51" i="31"/>
  <c r="BS51" i="31"/>
  <c r="BT51" i="31"/>
  <c r="BU51" i="31"/>
  <c r="BV51" i="31"/>
  <c r="BW51" i="31"/>
  <c r="BX51" i="31"/>
  <c r="BY51" i="31"/>
  <c r="CA51" i="31"/>
  <c r="CB51" i="31"/>
  <c r="CC51" i="31"/>
  <c r="CD51" i="31"/>
  <c r="CE51" i="31"/>
  <c r="CF51" i="31"/>
  <c r="CG51" i="31"/>
  <c r="CH51" i="31"/>
  <c r="CI51" i="31"/>
  <c r="CJ51" i="31"/>
  <c r="CK51" i="31"/>
  <c r="CL51" i="31"/>
  <c r="CM51" i="31"/>
  <c r="CN51" i="31"/>
  <c r="CO51" i="31"/>
  <c r="CP51" i="31"/>
  <c r="CQ51" i="31"/>
  <c r="CR51" i="31"/>
  <c r="CS51" i="31"/>
  <c r="CT51" i="31"/>
  <c r="CU51" i="31"/>
  <c r="CV51" i="31"/>
  <c r="CW51" i="31"/>
  <c r="CX51" i="31"/>
  <c r="CY51" i="31"/>
  <c r="CZ51" i="31"/>
  <c r="DA51" i="31"/>
  <c r="DB51" i="31"/>
  <c r="DC51" i="31"/>
  <c r="DD51" i="31"/>
  <c r="DE51" i="31"/>
  <c r="DF51" i="31"/>
  <c r="DG51" i="31"/>
  <c r="DH51" i="31"/>
  <c r="DI51" i="31"/>
  <c r="DJ51" i="31"/>
  <c r="AT53" i="31"/>
  <c r="AU53" i="31"/>
  <c r="AV53" i="31"/>
  <c r="AW53" i="31"/>
  <c r="AX53" i="31"/>
  <c r="AY53" i="31"/>
  <c r="AZ53" i="31"/>
  <c r="BA53" i="31"/>
  <c r="BB53" i="31"/>
  <c r="BC53" i="31"/>
  <c r="BD53" i="31"/>
  <c r="BE53" i="31"/>
  <c r="BF53" i="31"/>
  <c r="BG53" i="31"/>
  <c r="BH53" i="31"/>
  <c r="BI53" i="31"/>
  <c r="BJ53" i="31"/>
  <c r="BK53" i="31"/>
  <c r="BL53" i="31"/>
  <c r="BM53" i="31"/>
  <c r="BN53" i="31"/>
  <c r="BO53" i="31"/>
  <c r="BP53" i="31"/>
  <c r="BQ53" i="31"/>
  <c r="BR53" i="31"/>
  <c r="BS53" i="31"/>
  <c r="BT53" i="31"/>
  <c r="BU53" i="31"/>
  <c r="BV53" i="31"/>
  <c r="BW53" i="31"/>
  <c r="BX53" i="31"/>
  <c r="BY53" i="31"/>
  <c r="CA53" i="31"/>
  <c r="CB53" i="31"/>
  <c r="CC53" i="31"/>
  <c r="CD53" i="31"/>
  <c r="CE53" i="31"/>
  <c r="CF53" i="31"/>
  <c r="CG53" i="31"/>
  <c r="CH53" i="31"/>
  <c r="CI53" i="31"/>
  <c r="CJ53" i="31"/>
  <c r="CK53" i="31"/>
  <c r="CL53" i="31"/>
  <c r="CM53" i="31"/>
  <c r="CN53" i="31"/>
  <c r="CO53" i="31"/>
  <c r="CP53" i="31"/>
  <c r="CQ53" i="31"/>
  <c r="CR53" i="31"/>
  <c r="CS53" i="31"/>
  <c r="CT53" i="31"/>
  <c r="CU53" i="31"/>
  <c r="CV53" i="31"/>
  <c r="CW53" i="31"/>
  <c r="CX53" i="31"/>
  <c r="CY53" i="31"/>
  <c r="CZ53" i="31"/>
  <c r="DA53" i="31"/>
  <c r="DB53" i="31"/>
  <c r="DC53" i="31"/>
  <c r="DD53" i="31"/>
  <c r="DE53" i="31"/>
  <c r="DF53" i="31"/>
  <c r="DG53" i="31"/>
  <c r="DH53" i="31"/>
  <c r="DI53" i="31"/>
  <c r="DJ53" i="31"/>
  <c r="AT55" i="31"/>
  <c r="AU55" i="31"/>
  <c r="AV55" i="31"/>
  <c r="AW55" i="31"/>
  <c r="AX55" i="31"/>
  <c r="AY55" i="31"/>
  <c r="AZ55" i="31"/>
  <c r="BA55" i="31"/>
  <c r="BB55" i="31"/>
  <c r="BC55" i="31"/>
  <c r="BD55" i="31"/>
  <c r="BE55" i="31"/>
  <c r="BF55" i="31"/>
  <c r="BG55" i="31"/>
  <c r="BH55" i="31"/>
  <c r="BI55" i="31"/>
  <c r="BJ55" i="31"/>
  <c r="BK55" i="31"/>
  <c r="BL55" i="31"/>
  <c r="BM55" i="31"/>
  <c r="BN55" i="31"/>
  <c r="BO55" i="31"/>
  <c r="BP55" i="31"/>
  <c r="BQ55" i="31"/>
  <c r="BR55" i="31"/>
  <c r="BS55" i="31"/>
  <c r="BT55" i="31"/>
  <c r="BU55" i="31"/>
  <c r="BV55" i="31"/>
  <c r="BW55" i="31"/>
  <c r="BX55" i="31"/>
  <c r="BY55" i="31"/>
  <c r="CA55" i="31"/>
  <c r="CB55" i="31"/>
  <c r="CC55" i="31"/>
  <c r="CD55" i="31"/>
  <c r="CE55" i="31"/>
  <c r="CF55" i="31"/>
  <c r="CG55" i="31"/>
  <c r="CH55" i="31"/>
  <c r="CI55" i="31"/>
  <c r="CJ55" i="31"/>
  <c r="CK55" i="31"/>
  <c r="CL55" i="31"/>
  <c r="CM55" i="31"/>
  <c r="CN55" i="31"/>
  <c r="CO55" i="31"/>
  <c r="CP55" i="31"/>
  <c r="CQ55" i="31"/>
  <c r="CR55" i="31"/>
  <c r="CS55" i="31"/>
  <c r="CT55" i="31"/>
  <c r="CU55" i="31"/>
  <c r="CV55" i="31"/>
  <c r="CW55" i="31"/>
  <c r="CX55" i="31"/>
  <c r="CY55" i="31"/>
  <c r="CZ55" i="31"/>
  <c r="DA55" i="31"/>
  <c r="DB55" i="31"/>
  <c r="DC55" i="31"/>
  <c r="DD55" i="31"/>
  <c r="DE55" i="31"/>
  <c r="DF55" i="31"/>
  <c r="DG55" i="31"/>
  <c r="DH55" i="31"/>
  <c r="DI55" i="31"/>
  <c r="DJ55" i="31"/>
  <c r="AT57" i="31"/>
  <c r="AU57" i="31"/>
  <c r="AV57" i="31"/>
  <c r="AW57" i="31"/>
  <c r="AX57" i="31"/>
  <c r="AY57" i="31"/>
  <c r="AZ57" i="31"/>
  <c r="BA57" i="31"/>
  <c r="BB57" i="31"/>
  <c r="BC57" i="31"/>
  <c r="BD57" i="31"/>
  <c r="BE57" i="31"/>
  <c r="BF57" i="31"/>
  <c r="BG57" i="31"/>
  <c r="BH57" i="31"/>
  <c r="BI57" i="31"/>
  <c r="BJ57" i="31"/>
  <c r="BK57" i="31"/>
  <c r="BL57" i="31"/>
  <c r="BM57" i="31"/>
  <c r="BN57" i="31"/>
  <c r="BO57" i="31"/>
  <c r="BP57" i="31"/>
  <c r="BQ57" i="31"/>
  <c r="BR57" i="31"/>
  <c r="BS57" i="31"/>
  <c r="BT57" i="31"/>
  <c r="BU57" i="31"/>
  <c r="BV57" i="31"/>
  <c r="BW57" i="31"/>
  <c r="BX57" i="31"/>
  <c r="BY57" i="31"/>
  <c r="CA57" i="31"/>
  <c r="CB57" i="31"/>
  <c r="CC57" i="31"/>
  <c r="CD57" i="31"/>
  <c r="CE57" i="31"/>
  <c r="CF57" i="31"/>
  <c r="CG57" i="31"/>
  <c r="CH57" i="31"/>
  <c r="CI57" i="31"/>
  <c r="CJ57" i="31"/>
  <c r="CK57" i="31"/>
  <c r="CL57" i="31"/>
  <c r="CM57" i="31"/>
  <c r="CN57" i="31"/>
  <c r="CO57" i="31"/>
  <c r="CP57" i="31"/>
  <c r="CQ57" i="31"/>
  <c r="CR57" i="31"/>
  <c r="CS57" i="31"/>
  <c r="CT57" i="31"/>
  <c r="CU57" i="31"/>
  <c r="CV57" i="31"/>
  <c r="CW57" i="31"/>
  <c r="CX57" i="31"/>
  <c r="CY57" i="31"/>
  <c r="CZ57" i="31"/>
  <c r="DA57" i="31"/>
  <c r="DB57" i="31"/>
  <c r="DC57" i="31"/>
  <c r="DD57" i="31"/>
  <c r="DE57" i="31"/>
  <c r="DF57" i="31"/>
  <c r="DG57" i="31"/>
  <c r="DH57" i="31"/>
  <c r="DI57" i="31"/>
  <c r="DJ57" i="31"/>
  <c r="AT59" i="31"/>
  <c r="AU59" i="31"/>
  <c r="AV59" i="31"/>
  <c r="AW59" i="31"/>
  <c r="AX59" i="31"/>
  <c r="AY59" i="31"/>
  <c r="AZ59" i="31"/>
  <c r="BA59" i="31"/>
  <c r="BB59" i="31"/>
  <c r="BC59" i="31"/>
  <c r="BD59" i="31"/>
  <c r="BE59" i="31"/>
  <c r="BF59" i="31"/>
  <c r="BG59" i="31"/>
  <c r="BH59" i="31"/>
  <c r="BI59" i="31"/>
  <c r="BJ59" i="31"/>
  <c r="BK59" i="31"/>
  <c r="BL59" i="31"/>
  <c r="BM59" i="31"/>
  <c r="BN59" i="31"/>
  <c r="BO59" i="31"/>
  <c r="BP59" i="31"/>
  <c r="BQ59" i="31"/>
  <c r="BR59" i="31"/>
  <c r="BS59" i="31"/>
  <c r="BT59" i="31"/>
  <c r="BU59" i="31"/>
  <c r="BV59" i="31"/>
  <c r="BW59" i="31"/>
  <c r="BX59" i="31"/>
  <c r="BY59" i="31"/>
  <c r="CA59" i="31"/>
  <c r="CB59" i="31"/>
  <c r="CC59" i="31"/>
  <c r="CD59" i="31"/>
  <c r="CE59" i="31"/>
  <c r="CF59" i="31"/>
  <c r="CG59" i="31"/>
  <c r="CH59" i="31"/>
  <c r="CI59" i="31"/>
  <c r="CJ59" i="31"/>
  <c r="CK59" i="31"/>
  <c r="CL59" i="31"/>
  <c r="CM59" i="31"/>
  <c r="CN59" i="31"/>
  <c r="CO59" i="31"/>
  <c r="CP59" i="31"/>
  <c r="CQ59" i="31"/>
  <c r="CR59" i="31"/>
  <c r="CS59" i="31"/>
  <c r="CT59" i="31"/>
  <c r="CU59" i="31"/>
  <c r="CV59" i="31"/>
  <c r="CW59" i="31"/>
  <c r="CX59" i="31"/>
  <c r="CY59" i="31"/>
  <c r="CZ59" i="31"/>
  <c r="DA59" i="31"/>
  <c r="DB59" i="31"/>
  <c r="DC59" i="31"/>
  <c r="DD59" i="31"/>
  <c r="DE59" i="31"/>
  <c r="DF59" i="31"/>
  <c r="DG59" i="31"/>
  <c r="DH59" i="31"/>
  <c r="DI59" i="31"/>
  <c r="DJ59" i="31"/>
  <c r="AT61" i="31"/>
  <c r="AU61" i="31"/>
  <c r="AV61" i="31"/>
  <c r="AW61" i="31"/>
  <c r="AX61" i="31"/>
  <c r="AY61" i="31"/>
  <c r="AZ61" i="31"/>
  <c r="BA61" i="31"/>
  <c r="BB61" i="31"/>
  <c r="BC61" i="31"/>
  <c r="BD61" i="31"/>
  <c r="BE61" i="31"/>
  <c r="BF61" i="31"/>
  <c r="BG61" i="31"/>
  <c r="BH61" i="31"/>
  <c r="BI61" i="31"/>
  <c r="BJ61" i="31"/>
  <c r="BK61" i="31"/>
  <c r="BL61" i="31"/>
  <c r="BM61" i="31"/>
  <c r="BN61" i="31"/>
  <c r="BO61" i="31"/>
  <c r="BP61" i="31"/>
  <c r="BQ61" i="31"/>
  <c r="BR61" i="31"/>
  <c r="BS61" i="31"/>
  <c r="BT61" i="31"/>
  <c r="BU61" i="31"/>
  <c r="BV61" i="31"/>
  <c r="BW61" i="31"/>
  <c r="BX61" i="31"/>
  <c r="BY61" i="31"/>
  <c r="CA61" i="31"/>
  <c r="CB61" i="31"/>
  <c r="CC61" i="31"/>
  <c r="CD61" i="31"/>
  <c r="CE61" i="31"/>
  <c r="CF61" i="31"/>
  <c r="CG61" i="31"/>
  <c r="CH61" i="31"/>
  <c r="CI61" i="31"/>
  <c r="CJ61" i="31"/>
  <c r="CK61" i="31"/>
  <c r="CL61" i="31"/>
  <c r="CM61" i="31"/>
  <c r="CN61" i="31"/>
  <c r="CO61" i="31"/>
  <c r="CP61" i="31"/>
  <c r="CQ61" i="31"/>
  <c r="CR61" i="31"/>
  <c r="CS61" i="31"/>
  <c r="CT61" i="31"/>
  <c r="CU61" i="31"/>
  <c r="CV61" i="31"/>
  <c r="CW61" i="31"/>
  <c r="CX61" i="31"/>
  <c r="CY61" i="31"/>
  <c r="CZ61" i="31"/>
  <c r="DA61" i="31"/>
  <c r="DB61" i="31"/>
  <c r="DC61" i="31"/>
  <c r="DD61" i="31"/>
  <c r="DE61" i="31"/>
  <c r="DF61" i="31"/>
  <c r="DG61" i="31"/>
  <c r="DH61" i="31"/>
  <c r="DI61" i="31"/>
  <c r="DJ61" i="31"/>
  <c r="AT63" i="31"/>
  <c r="AU63" i="31"/>
  <c r="AV63" i="31"/>
  <c r="AW63" i="31"/>
  <c r="AX63" i="31"/>
  <c r="AY63" i="31"/>
  <c r="AZ63" i="31"/>
  <c r="BA63" i="31"/>
  <c r="BB63" i="31"/>
  <c r="BC63" i="31"/>
  <c r="BD63" i="31"/>
  <c r="BE63" i="31"/>
  <c r="BF63" i="31"/>
  <c r="BG63" i="31"/>
  <c r="BH63" i="31"/>
  <c r="BI63" i="31"/>
  <c r="BJ63" i="31"/>
  <c r="BK63" i="31"/>
  <c r="BL63" i="31"/>
  <c r="BM63" i="31"/>
  <c r="BN63" i="31"/>
  <c r="BO63" i="31"/>
  <c r="BP63" i="31"/>
  <c r="BQ63" i="31"/>
  <c r="BR63" i="31"/>
  <c r="BS63" i="31"/>
  <c r="BT63" i="31"/>
  <c r="BU63" i="31"/>
  <c r="BV63" i="31"/>
  <c r="BW63" i="31"/>
  <c r="BX63" i="31"/>
  <c r="BY63" i="31"/>
  <c r="CA63" i="31"/>
  <c r="CB63" i="31"/>
  <c r="CC63" i="31"/>
  <c r="CD63" i="31"/>
  <c r="CE63" i="31"/>
  <c r="CF63" i="31"/>
  <c r="CG63" i="31"/>
  <c r="CH63" i="31"/>
  <c r="CI63" i="31"/>
  <c r="CJ63" i="31"/>
  <c r="CK63" i="31"/>
  <c r="CL63" i="31"/>
  <c r="CM63" i="31"/>
  <c r="CN63" i="31"/>
  <c r="CO63" i="31"/>
  <c r="CP63" i="31"/>
  <c r="CQ63" i="31"/>
  <c r="CR63" i="31"/>
  <c r="CS63" i="31"/>
  <c r="CT63" i="31"/>
  <c r="CU63" i="31"/>
  <c r="CV63" i="31"/>
  <c r="CW63" i="31"/>
  <c r="CX63" i="31"/>
  <c r="CY63" i="31"/>
  <c r="CZ63" i="31"/>
  <c r="DA63" i="31"/>
  <c r="DB63" i="31"/>
  <c r="DC63" i="31"/>
  <c r="DD63" i="31"/>
  <c r="DE63" i="31"/>
  <c r="DF63" i="31"/>
  <c r="DG63" i="31"/>
  <c r="DH63" i="31"/>
  <c r="DI63" i="31"/>
  <c r="DJ63" i="31"/>
  <c r="AT65" i="31"/>
  <c r="AU65" i="31"/>
  <c r="AV65" i="31"/>
  <c r="AW65" i="31"/>
  <c r="AX65" i="31"/>
  <c r="AY65" i="31"/>
  <c r="AZ65" i="31"/>
  <c r="BA65" i="31"/>
  <c r="BB65" i="31"/>
  <c r="BC65" i="31"/>
  <c r="BD65" i="31"/>
  <c r="BE65" i="31"/>
  <c r="BF65" i="31"/>
  <c r="BG65" i="31"/>
  <c r="BH65" i="31"/>
  <c r="BI65" i="31"/>
  <c r="BJ65" i="31"/>
  <c r="BK65" i="31"/>
  <c r="BL65" i="31"/>
  <c r="BM65" i="31"/>
  <c r="BN65" i="31"/>
  <c r="BO65" i="31"/>
  <c r="BP65" i="31"/>
  <c r="BQ65" i="31"/>
  <c r="BR65" i="31"/>
  <c r="BS65" i="31"/>
  <c r="BT65" i="31"/>
  <c r="BU65" i="31"/>
  <c r="BV65" i="31"/>
  <c r="BW65" i="31"/>
  <c r="BX65" i="31"/>
  <c r="BY65" i="31"/>
  <c r="CA65" i="31"/>
  <c r="CB65" i="31"/>
  <c r="CC65" i="31"/>
  <c r="CD65" i="31"/>
  <c r="CE65" i="31"/>
  <c r="CF65" i="31"/>
  <c r="CG65" i="31"/>
  <c r="CH65" i="31"/>
  <c r="CI65" i="31"/>
  <c r="CJ65" i="31"/>
  <c r="CK65" i="31"/>
  <c r="CL65" i="31"/>
  <c r="CM65" i="31"/>
  <c r="CN65" i="31"/>
  <c r="CO65" i="31"/>
  <c r="CP65" i="31"/>
  <c r="CQ65" i="31"/>
  <c r="CR65" i="31"/>
  <c r="CS65" i="31"/>
  <c r="CT65" i="31"/>
  <c r="CU65" i="31"/>
  <c r="CV65" i="31"/>
  <c r="CW65" i="31"/>
  <c r="CX65" i="31"/>
  <c r="CY65" i="31"/>
  <c r="CZ65" i="31"/>
  <c r="DA65" i="31"/>
  <c r="DB65" i="31"/>
  <c r="DC65" i="31"/>
  <c r="DD65" i="31"/>
  <c r="DE65" i="31"/>
  <c r="DF65" i="31"/>
  <c r="DG65" i="31"/>
  <c r="DH65" i="31"/>
  <c r="DI65" i="31"/>
  <c r="DJ65" i="31"/>
  <c r="AT67" i="31"/>
  <c r="AU67" i="31"/>
  <c r="AV67" i="31"/>
  <c r="AW67" i="31"/>
  <c r="AX67" i="31"/>
  <c r="AY67" i="31"/>
  <c r="AZ67" i="31"/>
  <c r="BA67" i="31"/>
  <c r="BB67" i="31"/>
  <c r="BC67" i="31"/>
  <c r="BD67" i="31"/>
  <c r="BE67" i="31"/>
  <c r="BF67" i="31"/>
  <c r="BG67" i="31"/>
  <c r="BH67" i="31"/>
  <c r="BI67" i="31"/>
  <c r="BJ67" i="31"/>
  <c r="BK67" i="31"/>
  <c r="BL67" i="31"/>
  <c r="BM67" i="31"/>
  <c r="BN67" i="31"/>
  <c r="BO67" i="31"/>
  <c r="BP67" i="31"/>
  <c r="BQ67" i="31"/>
  <c r="BR67" i="31"/>
  <c r="BS67" i="31"/>
  <c r="BT67" i="31"/>
  <c r="BU67" i="31"/>
  <c r="BV67" i="31"/>
  <c r="BW67" i="31"/>
  <c r="BX67" i="31"/>
  <c r="BY67" i="31"/>
  <c r="CA67" i="31"/>
  <c r="CB67" i="31"/>
  <c r="CC67" i="31"/>
  <c r="CD67" i="31"/>
  <c r="CE67" i="31"/>
  <c r="CF67" i="31"/>
  <c r="CG67" i="31"/>
  <c r="CH67" i="31"/>
  <c r="CI67" i="31"/>
  <c r="CJ67" i="31"/>
  <c r="CK67" i="31"/>
  <c r="CL67" i="31"/>
  <c r="CM67" i="31"/>
  <c r="CN67" i="31"/>
  <c r="CO67" i="31"/>
  <c r="CP67" i="31"/>
  <c r="CQ67" i="31"/>
  <c r="CR67" i="31"/>
  <c r="CS67" i="31"/>
  <c r="CT67" i="31"/>
  <c r="CU67" i="31"/>
  <c r="CV67" i="31"/>
  <c r="CW67" i="31"/>
  <c r="CX67" i="31"/>
  <c r="CY67" i="31"/>
  <c r="CZ67" i="31"/>
  <c r="DA67" i="31"/>
  <c r="DB67" i="31"/>
  <c r="DC67" i="31"/>
  <c r="DD67" i="31"/>
  <c r="DE67" i="31"/>
  <c r="DF67" i="31"/>
  <c r="DG67" i="31"/>
  <c r="DH67" i="31"/>
  <c r="DI67" i="31"/>
  <c r="DJ67" i="31"/>
  <c r="AT69" i="31"/>
  <c r="AU69" i="31"/>
  <c r="AV69" i="31"/>
  <c r="AW69" i="31"/>
  <c r="AX69" i="31"/>
  <c r="AY69" i="31"/>
  <c r="AZ69" i="31"/>
  <c r="BA69" i="31"/>
  <c r="BB69" i="31"/>
  <c r="BC69" i="31"/>
  <c r="BD69" i="31"/>
  <c r="BE69" i="31"/>
  <c r="BF69" i="31"/>
  <c r="BG69" i="31"/>
  <c r="BH69" i="31"/>
  <c r="BI69" i="31"/>
  <c r="BJ69" i="31"/>
  <c r="BK69" i="31"/>
  <c r="BL69" i="31"/>
  <c r="BM69" i="31"/>
  <c r="BN69" i="31"/>
  <c r="BO69" i="31"/>
  <c r="BP69" i="31"/>
  <c r="BQ69" i="31"/>
  <c r="BR69" i="31"/>
  <c r="BS69" i="31"/>
  <c r="BT69" i="31"/>
  <c r="BU69" i="31"/>
  <c r="BV69" i="31"/>
  <c r="BW69" i="31"/>
  <c r="BX69" i="31"/>
  <c r="BY69" i="31"/>
  <c r="CA69" i="31"/>
  <c r="CB69" i="31"/>
  <c r="CC69" i="31"/>
  <c r="CD69" i="31"/>
  <c r="CE69" i="31"/>
  <c r="CF69" i="31"/>
  <c r="CG69" i="31"/>
  <c r="CH69" i="31"/>
  <c r="CI69" i="31"/>
  <c r="CJ69" i="31"/>
  <c r="CK69" i="31"/>
  <c r="CL69" i="31"/>
  <c r="CM69" i="31"/>
  <c r="CN69" i="31"/>
  <c r="CO69" i="31"/>
  <c r="CP69" i="31"/>
  <c r="CQ69" i="31"/>
  <c r="CR69" i="31"/>
  <c r="CS69" i="31"/>
  <c r="CT69" i="31"/>
  <c r="CU69" i="31"/>
  <c r="CV69" i="31"/>
  <c r="CW69" i="31"/>
  <c r="CX69" i="31"/>
  <c r="CY69" i="31"/>
  <c r="CZ69" i="31"/>
  <c r="DA69" i="31"/>
  <c r="DB69" i="31"/>
  <c r="DC69" i="31"/>
  <c r="DD69" i="31"/>
  <c r="DE69" i="31"/>
  <c r="DF69" i="31"/>
  <c r="DG69" i="31"/>
  <c r="DH69" i="31"/>
  <c r="DI69" i="31"/>
  <c r="DJ69" i="31"/>
  <c r="AT71" i="31"/>
  <c r="AU71" i="31"/>
  <c r="AV71" i="31"/>
  <c r="AW71" i="31"/>
  <c r="AX71" i="31"/>
  <c r="AY71" i="31"/>
  <c r="AZ71" i="31"/>
  <c r="BA71" i="31"/>
  <c r="BB71" i="31"/>
  <c r="BC71" i="31"/>
  <c r="BD71" i="31"/>
  <c r="BE71" i="31"/>
  <c r="BF71" i="31"/>
  <c r="BG71" i="31"/>
  <c r="BH71" i="31"/>
  <c r="BI71" i="31"/>
  <c r="BJ71" i="31"/>
  <c r="BK71" i="31"/>
  <c r="BL71" i="31"/>
  <c r="BM71" i="31"/>
  <c r="BN71" i="31"/>
  <c r="BO71" i="31"/>
  <c r="BP71" i="31"/>
  <c r="BQ71" i="31"/>
  <c r="BR71" i="31"/>
  <c r="BS71" i="31"/>
  <c r="BT71" i="31"/>
  <c r="BU71" i="31"/>
  <c r="BV71" i="31"/>
  <c r="BW71" i="31"/>
  <c r="BX71" i="31"/>
  <c r="BY71" i="31"/>
  <c r="CA71" i="31"/>
  <c r="CB71" i="31"/>
  <c r="CC71" i="31"/>
  <c r="CD71" i="31"/>
  <c r="CE71" i="31"/>
  <c r="CF71" i="31"/>
  <c r="CG71" i="31"/>
  <c r="CH71" i="31"/>
  <c r="CI71" i="31"/>
  <c r="CJ71" i="31"/>
  <c r="CK71" i="31"/>
  <c r="CL71" i="31"/>
  <c r="CM71" i="31"/>
  <c r="CN71" i="31"/>
  <c r="CO71" i="31"/>
  <c r="CP71" i="31"/>
  <c r="CQ71" i="31"/>
  <c r="CR71" i="31"/>
  <c r="CS71" i="31"/>
  <c r="CT71" i="31"/>
  <c r="CU71" i="31"/>
  <c r="CV71" i="31"/>
  <c r="CW71" i="31"/>
  <c r="CX71" i="31"/>
  <c r="CY71" i="31"/>
  <c r="CZ71" i="31"/>
  <c r="DA71" i="31"/>
  <c r="DB71" i="31"/>
  <c r="DC71" i="31"/>
  <c r="DD71" i="31"/>
  <c r="DE71" i="31"/>
  <c r="DF71" i="31"/>
  <c r="DG71" i="31"/>
  <c r="DH71" i="31"/>
  <c r="DI71" i="31"/>
  <c r="DJ71" i="31"/>
  <c r="AT73" i="31"/>
  <c r="AU73" i="31"/>
  <c r="AV73" i="31"/>
  <c r="AW73" i="31"/>
  <c r="AX73" i="31"/>
  <c r="AY73" i="31"/>
  <c r="AZ73" i="31"/>
  <c r="BA73" i="31"/>
  <c r="BB73" i="31"/>
  <c r="BC73" i="31"/>
  <c r="BD73" i="31"/>
  <c r="BE73" i="31"/>
  <c r="BF73" i="31"/>
  <c r="BG73" i="31"/>
  <c r="BH73" i="31"/>
  <c r="BI73" i="31"/>
  <c r="BJ73" i="31"/>
  <c r="BK73" i="31"/>
  <c r="BL73" i="31"/>
  <c r="BM73" i="31"/>
  <c r="BN73" i="31"/>
  <c r="BO73" i="31"/>
  <c r="BP73" i="31"/>
  <c r="BQ73" i="31"/>
  <c r="BR73" i="31"/>
  <c r="BS73" i="31"/>
  <c r="BT73" i="31"/>
  <c r="BU73" i="31"/>
  <c r="BV73" i="31"/>
  <c r="BW73" i="31"/>
  <c r="BX73" i="31"/>
  <c r="BY73" i="31"/>
  <c r="CA73" i="31"/>
  <c r="CB73" i="31"/>
  <c r="CC73" i="31"/>
  <c r="CD73" i="31"/>
  <c r="CE73" i="31"/>
  <c r="CF73" i="31"/>
  <c r="CG73" i="31"/>
  <c r="CH73" i="31"/>
  <c r="CI73" i="31"/>
  <c r="CJ73" i="31"/>
  <c r="CK73" i="31"/>
  <c r="CL73" i="31"/>
  <c r="CM73" i="31"/>
  <c r="CN73" i="31"/>
  <c r="CO73" i="31"/>
  <c r="CP73" i="31"/>
  <c r="CQ73" i="31"/>
  <c r="CR73" i="31"/>
  <c r="CS73" i="31"/>
  <c r="CT73" i="31"/>
  <c r="CU73" i="31"/>
  <c r="CV73" i="31"/>
  <c r="CW73" i="31"/>
  <c r="CX73" i="31"/>
  <c r="CY73" i="31"/>
  <c r="CZ73" i="31"/>
  <c r="DA73" i="31"/>
  <c r="DB73" i="31"/>
  <c r="DC73" i="31"/>
  <c r="DD73" i="31"/>
  <c r="DE73" i="31"/>
  <c r="DF73" i="31"/>
  <c r="DG73" i="31"/>
  <c r="DH73" i="31"/>
  <c r="DI73" i="31"/>
  <c r="DJ73" i="31"/>
  <c r="AT75" i="31"/>
  <c r="AU75" i="31"/>
  <c r="AV75" i="31"/>
  <c r="AW75" i="31"/>
  <c r="AX75" i="31"/>
  <c r="AY75" i="31"/>
  <c r="AZ75" i="31"/>
  <c r="BA75" i="31"/>
  <c r="BB75" i="31"/>
  <c r="BC75" i="31"/>
  <c r="BD75" i="31"/>
  <c r="BE75" i="31"/>
  <c r="BF75" i="31"/>
  <c r="BG75" i="31"/>
  <c r="BH75" i="31"/>
  <c r="BI75" i="31"/>
  <c r="BJ75" i="31"/>
  <c r="BK75" i="31"/>
  <c r="BL75" i="31"/>
  <c r="BM75" i="31"/>
  <c r="BN75" i="31"/>
  <c r="BO75" i="31"/>
  <c r="BP75" i="31"/>
  <c r="BQ75" i="31"/>
  <c r="BR75" i="31"/>
  <c r="BS75" i="31"/>
  <c r="BT75" i="31"/>
  <c r="BU75" i="31"/>
  <c r="BV75" i="31"/>
  <c r="BW75" i="31"/>
  <c r="BX75" i="31"/>
  <c r="BY75" i="31"/>
  <c r="CA75" i="31"/>
  <c r="CB75" i="31"/>
  <c r="CC75" i="31"/>
  <c r="CD75" i="31"/>
  <c r="CE75" i="31"/>
  <c r="CF75" i="31"/>
  <c r="CG75" i="31"/>
  <c r="CH75" i="31"/>
  <c r="CI75" i="31"/>
  <c r="CJ75" i="31"/>
  <c r="CK75" i="31"/>
  <c r="CL75" i="31"/>
  <c r="CM75" i="31"/>
  <c r="CN75" i="31"/>
  <c r="CO75" i="31"/>
  <c r="CP75" i="31"/>
  <c r="CQ75" i="31"/>
  <c r="CR75" i="31"/>
  <c r="CS75" i="31"/>
  <c r="CT75" i="31"/>
  <c r="CU75" i="31"/>
  <c r="CV75" i="31"/>
  <c r="CW75" i="31"/>
  <c r="CX75" i="31"/>
  <c r="CY75" i="31"/>
  <c r="CZ75" i="31"/>
  <c r="DA75" i="31"/>
  <c r="DB75" i="31"/>
  <c r="DC75" i="31"/>
  <c r="DD75" i="31"/>
  <c r="DE75" i="31"/>
  <c r="DF75" i="31"/>
  <c r="DG75" i="31"/>
  <c r="DH75" i="31"/>
  <c r="DI75" i="31"/>
  <c r="DJ75" i="31"/>
  <c r="AT77" i="31"/>
  <c r="AU77" i="31"/>
  <c r="AV77" i="31"/>
  <c r="AW77" i="31"/>
  <c r="AX77" i="31"/>
  <c r="AY77" i="31"/>
  <c r="AZ77" i="31"/>
  <c r="BA77" i="31"/>
  <c r="BB77" i="31"/>
  <c r="BC77" i="31"/>
  <c r="BD77" i="31"/>
  <c r="BE77" i="31"/>
  <c r="BF77" i="31"/>
  <c r="BG77" i="31"/>
  <c r="BH77" i="31"/>
  <c r="BI77" i="31"/>
  <c r="BJ77" i="31"/>
  <c r="BK77" i="31"/>
  <c r="BL77" i="31"/>
  <c r="BM77" i="31"/>
  <c r="BN77" i="31"/>
  <c r="BO77" i="31"/>
  <c r="BP77" i="31"/>
  <c r="BQ77" i="31"/>
  <c r="BR77" i="31"/>
  <c r="BS77" i="31"/>
  <c r="BT77" i="31"/>
  <c r="BU77" i="31"/>
  <c r="BV77" i="31"/>
  <c r="BW77" i="31"/>
  <c r="BX77" i="31"/>
  <c r="BY77" i="31"/>
  <c r="CA77" i="31"/>
  <c r="CB77" i="31"/>
  <c r="CC77" i="31"/>
  <c r="CD77" i="31"/>
  <c r="CE77" i="31"/>
  <c r="CF77" i="31"/>
  <c r="CG77" i="31"/>
  <c r="CH77" i="31"/>
  <c r="CI77" i="31"/>
  <c r="CJ77" i="31"/>
  <c r="CK77" i="31"/>
  <c r="CL77" i="31"/>
  <c r="CM77" i="31"/>
  <c r="CN77" i="31"/>
  <c r="CO77" i="31"/>
  <c r="CP77" i="31"/>
  <c r="CQ77" i="31"/>
  <c r="CR77" i="31"/>
  <c r="CS77" i="31"/>
  <c r="CT77" i="31"/>
  <c r="CU77" i="31"/>
  <c r="CV77" i="31"/>
  <c r="CW77" i="31"/>
  <c r="CX77" i="31"/>
  <c r="CY77" i="31"/>
  <c r="CZ77" i="31"/>
  <c r="DA77" i="31"/>
  <c r="DB77" i="31"/>
  <c r="DC77" i="31"/>
  <c r="DD77" i="31"/>
  <c r="DE77" i="31"/>
  <c r="DF77" i="31"/>
  <c r="DG77" i="31"/>
  <c r="DH77" i="31"/>
  <c r="DI77" i="31"/>
  <c r="DJ77" i="31"/>
  <c r="AT79" i="31"/>
  <c r="AU79" i="31"/>
  <c r="AV79" i="31"/>
  <c r="AW79" i="31"/>
  <c r="AX79" i="31"/>
  <c r="AY79" i="31"/>
  <c r="AZ79" i="31"/>
  <c r="BA79" i="31"/>
  <c r="BB79" i="31"/>
  <c r="BC79" i="31"/>
  <c r="BD79" i="31"/>
  <c r="BE79" i="31"/>
  <c r="BF79" i="31"/>
  <c r="BG79" i="31"/>
  <c r="BH79" i="31"/>
  <c r="BI79" i="31"/>
  <c r="BJ79" i="31"/>
  <c r="BK79" i="31"/>
  <c r="BL79" i="31"/>
  <c r="BM79" i="31"/>
  <c r="BN79" i="31"/>
  <c r="BO79" i="31"/>
  <c r="BP79" i="31"/>
  <c r="BQ79" i="31"/>
  <c r="BR79" i="31"/>
  <c r="BS79" i="31"/>
  <c r="BT79" i="31"/>
  <c r="BU79" i="31"/>
  <c r="BV79" i="31"/>
  <c r="BW79" i="31"/>
  <c r="BX79" i="31"/>
  <c r="BY79" i="31"/>
  <c r="CA79" i="31"/>
  <c r="CB79" i="31"/>
  <c r="CC79" i="31"/>
  <c r="CD79" i="31"/>
  <c r="CE79" i="31"/>
  <c r="CF79" i="31"/>
  <c r="CG79" i="31"/>
  <c r="CH79" i="31"/>
  <c r="CI79" i="31"/>
  <c r="CJ79" i="31"/>
  <c r="CK79" i="31"/>
  <c r="CL79" i="31"/>
  <c r="CM79" i="31"/>
  <c r="CN79" i="31"/>
  <c r="CO79" i="31"/>
  <c r="CP79" i="31"/>
  <c r="CQ79" i="31"/>
  <c r="CR79" i="31"/>
  <c r="CS79" i="31"/>
  <c r="CT79" i="31"/>
  <c r="CU79" i="31"/>
  <c r="CV79" i="31"/>
  <c r="CW79" i="31"/>
  <c r="CX79" i="31"/>
  <c r="CY79" i="31"/>
  <c r="CZ79" i="31"/>
  <c r="DA79" i="31"/>
  <c r="DB79" i="31"/>
  <c r="DC79" i="31"/>
  <c r="DD79" i="31"/>
  <c r="DE79" i="31"/>
  <c r="DF79" i="31"/>
  <c r="DG79" i="31"/>
  <c r="DH79" i="31"/>
  <c r="DI79" i="31"/>
  <c r="DJ79" i="31"/>
  <c r="AT81" i="31"/>
  <c r="AU81" i="31"/>
  <c r="AV81" i="31"/>
  <c r="AW81" i="31"/>
  <c r="AX81" i="31"/>
  <c r="AY81" i="31"/>
  <c r="AZ81" i="31"/>
  <c r="BA81" i="31"/>
  <c r="BB81" i="31"/>
  <c r="BC81" i="31"/>
  <c r="BD81" i="31"/>
  <c r="BE81" i="31"/>
  <c r="BF81" i="31"/>
  <c r="BG81" i="31"/>
  <c r="BH81" i="31"/>
  <c r="BI81" i="31"/>
  <c r="BJ81" i="31"/>
  <c r="BK81" i="31"/>
  <c r="BL81" i="31"/>
  <c r="BM81" i="31"/>
  <c r="BN81" i="31"/>
  <c r="BO81" i="31"/>
  <c r="BP81" i="31"/>
  <c r="BQ81" i="31"/>
  <c r="BR81" i="31"/>
  <c r="BS81" i="31"/>
  <c r="BT81" i="31"/>
  <c r="BU81" i="31"/>
  <c r="BV81" i="31"/>
  <c r="BW81" i="31"/>
  <c r="BX81" i="31"/>
  <c r="BY81" i="31"/>
  <c r="CA81" i="31"/>
  <c r="CB81" i="31"/>
  <c r="CC81" i="31"/>
  <c r="CD81" i="31"/>
  <c r="CE81" i="31"/>
  <c r="CF81" i="31"/>
  <c r="CG81" i="31"/>
  <c r="CH81" i="31"/>
  <c r="CI81" i="31"/>
  <c r="CJ81" i="31"/>
  <c r="CK81" i="31"/>
  <c r="CL81" i="31"/>
  <c r="CM81" i="31"/>
  <c r="CN81" i="31"/>
  <c r="CO81" i="31"/>
  <c r="CP81" i="31"/>
  <c r="CQ81" i="31"/>
  <c r="CR81" i="31"/>
  <c r="CS81" i="31"/>
  <c r="CT81" i="31"/>
  <c r="CU81" i="31"/>
  <c r="CV81" i="31"/>
  <c r="CW81" i="31"/>
  <c r="CX81" i="31"/>
  <c r="CY81" i="31"/>
  <c r="CZ81" i="31"/>
  <c r="DA81" i="31"/>
  <c r="DB81" i="31"/>
  <c r="DC81" i="31"/>
  <c r="DD81" i="31"/>
  <c r="DE81" i="31"/>
  <c r="DF81" i="31"/>
  <c r="DG81" i="31"/>
  <c r="DH81" i="31"/>
  <c r="DI81" i="31"/>
  <c r="DJ81" i="31"/>
  <c r="AT83" i="31"/>
  <c r="AU83" i="31"/>
  <c r="AV83" i="31"/>
  <c r="AW83" i="31"/>
  <c r="AX83" i="31"/>
  <c r="AY83" i="31"/>
  <c r="AZ83" i="31"/>
  <c r="BA83" i="31"/>
  <c r="BB83" i="31"/>
  <c r="BC83" i="31"/>
  <c r="BD83" i="31"/>
  <c r="BE83" i="31"/>
  <c r="BF83" i="31"/>
  <c r="BG83" i="31"/>
  <c r="BH83" i="31"/>
  <c r="BI83" i="31"/>
  <c r="BJ83" i="31"/>
  <c r="BK83" i="31"/>
  <c r="BL83" i="31"/>
  <c r="BM83" i="31"/>
  <c r="BN83" i="31"/>
  <c r="BO83" i="31"/>
  <c r="BP83" i="31"/>
  <c r="BQ83" i="31"/>
  <c r="BR83" i="31"/>
  <c r="BS83" i="31"/>
  <c r="BT83" i="31"/>
  <c r="BU83" i="31"/>
  <c r="BV83" i="31"/>
  <c r="BW83" i="31"/>
  <c r="BX83" i="31"/>
  <c r="BY83" i="31"/>
  <c r="CA83" i="31"/>
  <c r="CB83" i="31"/>
  <c r="CC83" i="31"/>
  <c r="CD83" i="31"/>
  <c r="CE83" i="31"/>
  <c r="CF83" i="31"/>
  <c r="CG83" i="31"/>
  <c r="CH83" i="31"/>
  <c r="CI83" i="31"/>
  <c r="CJ83" i="31"/>
  <c r="CK83" i="31"/>
  <c r="CL83" i="31"/>
  <c r="CM83" i="31"/>
  <c r="CN83" i="31"/>
  <c r="CO83" i="31"/>
  <c r="CP83" i="31"/>
  <c r="CQ83" i="31"/>
  <c r="CR83" i="31"/>
  <c r="CS83" i="31"/>
  <c r="CT83" i="31"/>
  <c r="CU83" i="31"/>
  <c r="CV83" i="31"/>
  <c r="CW83" i="31"/>
  <c r="CX83" i="31"/>
  <c r="CY83" i="31"/>
  <c r="CZ83" i="31"/>
  <c r="DA83" i="31"/>
  <c r="DB83" i="31"/>
  <c r="DC83" i="31"/>
  <c r="DD83" i="31"/>
  <c r="DE83" i="31"/>
  <c r="DF83" i="31"/>
  <c r="DG83" i="31"/>
  <c r="DH83" i="31"/>
  <c r="DI83" i="31"/>
  <c r="DJ83" i="31"/>
  <c r="AT85" i="31"/>
  <c r="AU85" i="31"/>
  <c r="AV85" i="31"/>
  <c r="AW85" i="31"/>
  <c r="AX85" i="31"/>
  <c r="AY85" i="31"/>
  <c r="AZ85" i="31"/>
  <c r="BA85" i="31"/>
  <c r="BB85" i="31"/>
  <c r="BC85" i="31"/>
  <c r="BD85" i="31"/>
  <c r="BE85" i="31"/>
  <c r="BF85" i="31"/>
  <c r="BG85" i="31"/>
  <c r="BH85" i="31"/>
  <c r="BI85" i="31"/>
  <c r="BJ85" i="31"/>
  <c r="BK85" i="31"/>
  <c r="BL85" i="31"/>
  <c r="BM85" i="31"/>
  <c r="BN85" i="31"/>
  <c r="BO85" i="31"/>
  <c r="BP85" i="31"/>
  <c r="BQ85" i="31"/>
  <c r="BR85" i="31"/>
  <c r="BS85" i="31"/>
  <c r="BT85" i="31"/>
  <c r="BU85" i="31"/>
  <c r="BV85" i="31"/>
  <c r="BW85" i="31"/>
  <c r="BX85" i="31"/>
  <c r="BY85" i="31"/>
  <c r="CA85" i="31"/>
  <c r="CB85" i="31"/>
  <c r="CC85" i="31"/>
  <c r="CD85" i="31"/>
  <c r="CE85" i="31"/>
  <c r="CF85" i="31"/>
  <c r="CG85" i="31"/>
  <c r="CH85" i="31"/>
  <c r="CI85" i="31"/>
  <c r="CJ85" i="31"/>
  <c r="CK85" i="31"/>
  <c r="CL85" i="31"/>
  <c r="CM85" i="31"/>
  <c r="CN85" i="31"/>
  <c r="CO85" i="31"/>
  <c r="CP85" i="31"/>
  <c r="CQ85" i="31"/>
  <c r="CR85" i="31"/>
  <c r="CS85" i="31"/>
  <c r="CT85" i="31"/>
  <c r="CU85" i="31"/>
  <c r="CV85" i="31"/>
  <c r="CW85" i="31"/>
  <c r="CX85" i="31"/>
  <c r="CY85" i="31"/>
  <c r="CZ85" i="31"/>
  <c r="DA85" i="31"/>
  <c r="DB85" i="31"/>
  <c r="DC85" i="31"/>
  <c r="DD85" i="31"/>
  <c r="DE85" i="31"/>
  <c r="DF85" i="31"/>
  <c r="DG85" i="31"/>
  <c r="DH85" i="31"/>
  <c r="DI85" i="31"/>
  <c r="DJ85" i="31"/>
  <c r="AT87" i="31"/>
  <c r="AU87" i="31"/>
  <c r="AV87" i="31"/>
  <c r="AW87" i="31"/>
  <c r="AX87" i="31"/>
  <c r="AY87" i="31"/>
  <c r="AZ87" i="31"/>
  <c r="BA87" i="31"/>
  <c r="BB87" i="31"/>
  <c r="BC87" i="31"/>
  <c r="BD87" i="31"/>
  <c r="BE87" i="31"/>
  <c r="BF87" i="31"/>
  <c r="BG87" i="31"/>
  <c r="BH87" i="31"/>
  <c r="BI87" i="31"/>
  <c r="BJ87" i="31"/>
  <c r="BK87" i="31"/>
  <c r="BL87" i="31"/>
  <c r="BM87" i="31"/>
  <c r="BN87" i="31"/>
  <c r="BO87" i="31"/>
  <c r="BP87" i="31"/>
  <c r="BQ87" i="31"/>
  <c r="BR87" i="31"/>
  <c r="BS87" i="31"/>
  <c r="BT87" i="31"/>
  <c r="BU87" i="31"/>
  <c r="BV87" i="31"/>
  <c r="BW87" i="31"/>
  <c r="BX87" i="31"/>
  <c r="BY87" i="31"/>
  <c r="CA87" i="31"/>
  <c r="CB87" i="31"/>
  <c r="CC87" i="31"/>
  <c r="CD87" i="31"/>
  <c r="CE87" i="31"/>
  <c r="CF87" i="31"/>
  <c r="CG87" i="31"/>
  <c r="CH87" i="31"/>
  <c r="CI87" i="31"/>
  <c r="CJ87" i="31"/>
  <c r="CK87" i="31"/>
  <c r="CL87" i="31"/>
  <c r="CM87" i="31"/>
  <c r="CN87" i="31"/>
  <c r="CO87" i="31"/>
  <c r="CP87" i="31"/>
  <c r="CQ87" i="31"/>
  <c r="CR87" i="31"/>
  <c r="CS87" i="31"/>
  <c r="CT87" i="31"/>
  <c r="CU87" i="31"/>
  <c r="CV87" i="31"/>
  <c r="CW87" i="31"/>
  <c r="CX87" i="31"/>
  <c r="CY87" i="31"/>
  <c r="CZ87" i="31"/>
  <c r="DA87" i="31"/>
  <c r="DB87" i="31"/>
  <c r="DC87" i="31"/>
  <c r="DD87" i="31"/>
  <c r="DE87" i="31"/>
  <c r="DF87" i="31"/>
  <c r="DG87" i="31"/>
  <c r="DH87" i="31"/>
  <c r="DI87" i="31"/>
  <c r="DJ87" i="31"/>
  <c r="AT89" i="31"/>
  <c r="AU89" i="31"/>
  <c r="AV89" i="31"/>
  <c r="AW89" i="31"/>
  <c r="AX89" i="31"/>
  <c r="AY89" i="31"/>
  <c r="AZ89" i="31"/>
  <c r="BA89" i="31"/>
  <c r="BB89" i="31"/>
  <c r="BC89" i="31"/>
  <c r="BD89" i="31"/>
  <c r="BE89" i="31"/>
  <c r="BF89" i="31"/>
  <c r="BG89" i="31"/>
  <c r="BH89" i="31"/>
  <c r="BI89" i="31"/>
  <c r="BJ89" i="31"/>
  <c r="BK89" i="31"/>
  <c r="BL89" i="31"/>
  <c r="BM89" i="31"/>
  <c r="BN89" i="31"/>
  <c r="BO89" i="31"/>
  <c r="BP89" i="31"/>
  <c r="BQ89" i="31"/>
  <c r="BR89" i="31"/>
  <c r="BS89" i="31"/>
  <c r="BT89" i="31"/>
  <c r="BU89" i="31"/>
  <c r="BV89" i="31"/>
  <c r="BW89" i="31"/>
  <c r="BX89" i="31"/>
  <c r="BY89" i="31"/>
  <c r="CA89" i="31"/>
  <c r="CB89" i="31"/>
  <c r="CC89" i="31"/>
  <c r="CD89" i="31"/>
  <c r="CE89" i="31"/>
  <c r="CF89" i="31"/>
  <c r="CG89" i="31"/>
  <c r="CH89" i="31"/>
  <c r="CI89" i="31"/>
  <c r="CJ89" i="31"/>
  <c r="CK89" i="31"/>
  <c r="CL89" i="31"/>
  <c r="CM89" i="31"/>
  <c r="CN89" i="31"/>
  <c r="CO89" i="31"/>
  <c r="CP89" i="31"/>
  <c r="CQ89" i="31"/>
  <c r="CR89" i="31"/>
  <c r="CS89" i="31"/>
  <c r="CT89" i="31"/>
  <c r="CU89" i="31"/>
  <c r="CV89" i="31"/>
  <c r="CW89" i="31"/>
  <c r="CX89" i="31"/>
  <c r="CY89" i="31"/>
  <c r="CZ89" i="31"/>
  <c r="DA89" i="31"/>
  <c r="DB89" i="31"/>
  <c r="DC89" i="31"/>
  <c r="DD89" i="31"/>
  <c r="DE89" i="31"/>
  <c r="DF89" i="31"/>
  <c r="DG89" i="31"/>
  <c r="DH89" i="31"/>
  <c r="DI89" i="31"/>
  <c r="DJ89" i="31"/>
  <c r="AT91" i="31"/>
  <c r="AU91" i="31"/>
  <c r="AV91" i="31"/>
  <c r="AW91" i="31"/>
  <c r="AX91" i="31"/>
  <c r="AY91" i="31"/>
  <c r="AZ91" i="31"/>
  <c r="BA91" i="31"/>
  <c r="BB91" i="31"/>
  <c r="BC91" i="31"/>
  <c r="BD91" i="31"/>
  <c r="BE91" i="31"/>
  <c r="BF91" i="31"/>
  <c r="BG91" i="31"/>
  <c r="BH91" i="31"/>
  <c r="BI91" i="31"/>
  <c r="BJ91" i="31"/>
  <c r="BK91" i="31"/>
  <c r="BL91" i="31"/>
  <c r="BM91" i="31"/>
  <c r="BN91" i="31"/>
  <c r="BO91" i="31"/>
  <c r="BP91" i="31"/>
  <c r="BQ91" i="31"/>
  <c r="BR91" i="31"/>
  <c r="BS91" i="31"/>
  <c r="BT91" i="31"/>
  <c r="BU91" i="31"/>
  <c r="BV91" i="31"/>
  <c r="BW91" i="31"/>
  <c r="BX91" i="31"/>
  <c r="BY91" i="31"/>
  <c r="CA91" i="31"/>
  <c r="CB91" i="31"/>
  <c r="CC91" i="31"/>
  <c r="CD91" i="31"/>
  <c r="CE91" i="31"/>
  <c r="CF91" i="31"/>
  <c r="CG91" i="31"/>
  <c r="CH91" i="31"/>
  <c r="CI91" i="31"/>
  <c r="CJ91" i="31"/>
  <c r="CK91" i="31"/>
  <c r="CL91" i="31"/>
  <c r="CM91" i="31"/>
  <c r="CN91" i="31"/>
  <c r="CO91" i="31"/>
  <c r="CP91" i="31"/>
  <c r="CQ91" i="31"/>
  <c r="CR91" i="31"/>
  <c r="CS91" i="31"/>
  <c r="CT91" i="31"/>
  <c r="CU91" i="31"/>
  <c r="CV91" i="31"/>
  <c r="CW91" i="31"/>
  <c r="CX91" i="31"/>
  <c r="CY91" i="31"/>
  <c r="CZ91" i="31"/>
  <c r="DA91" i="31"/>
  <c r="DB91" i="31"/>
  <c r="DC91" i="31"/>
  <c r="DD91" i="31"/>
  <c r="DE91" i="31"/>
  <c r="DF91" i="31"/>
  <c r="DG91" i="31"/>
  <c r="DH91" i="31"/>
  <c r="DI91" i="31"/>
  <c r="DJ91" i="31"/>
  <c r="AT93" i="31"/>
  <c r="AU93" i="31"/>
  <c r="AV93" i="31"/>
  <c r="AW93" i="31"/>
  <c r="AX93" i="31"/>
  <c r="AY93" i="31"/>
  <c r="AZ93" i="31"/>
  <c r="BA93" i="31"/>
  <c r="BB93" i="31"/>
  <c r="BC93" i="31"/>
  <c r="BD93" i="31"/>
  <c r="BE93" i="31"/>
  <c r="BF93" i="31"/>
  <c r="BG93" i="31"/>
  <c r="BH93" i="31"/>
  <c r="BI93" i="31"/>
  <c r="BJ93" i="31"/>
  <c r="BK93" i="31"/>
  <c r="BL93" i="31"/>
  <c r="BM93" i="31"/>
  <c r="BN93" i="31"/>
  <c r="BO93" i="31"/>
  <c r="BP93" i="31"/>
  <c r="BQ93" i="31"/>
  <c r="BR93" i="31"/>
  <c r="BS93" i="31"/>
  <c r="BT93" i="31"/>
  <c r="BU93" i="31"/>
  <c r="BV93" i="31"/>
  <c r="BW93" i="31"/>
  <c r="BX93" i="31"/>
  <c r="BY93" i="31"/>
  <c r="CA93" i="31"/>
  <c r="CB93" i="31"/>
  <c r="CC93" i="31"/>
  <c r="CD93" i="31"/>
  <c r="CE93" i="31"/>
  <c r="CF93" i="31"/>
  <c r="CG93" i="31"/>
  <c r="CH93" i="31"/>
  <c r="CI93" i="31"/>
  <c r="CJ93" i="31"/>
  <c r="CK93" i="31"/>
  <c r="CL93" i="31"/>
  <c r="CM93" i="31"/>
  <c r="CN93" i="31"/>
  <c r="CO93" i="31"/>
  <c r="CP93" i="31"/>
  <c r="CQ93" i="31"/>
  <c r="CR93" i="31"/>
  <c r="CS93" i="31"/>
  <c r="CT93" i="31"/>
  <c r="CU93" i="31"/>
  <c r="CV93" i="31"/>
  <c r="CW93" i="31"/>
  <c r="CX93" i="31"/>
  <c r="CY93" i="31"/>
  <c r="CZ93" i="31"/>
  <c r="DA93" i="31"/>
  <c r="DB93" i="31"/>
  <c r="DC93" i="31"/>
  <c r="DD93" i="31"/>
  <c r="DE93" i="31"/>
  <c r="DF93" i="31"/>
  <c r="DG93" i="31"/>
  <c r="DH93" i="31"/>
  <c r="DI93" i="31"/>
  <c r="DJ93" i="31"/>
  <c r="AT95" i="31"/>
  <c r="AU95" i="31"/>
  <c r="AV95" i="31"/>
  <c r="AW95" i="31"/>
  <c r="AX95" i="31"/>
  <c r="AY95" i="31"/>
  <c r="AZ95" i="31"/>
  <c r="BA95" i="31"/>
  <c r="BB95" i="31"/>
  <c r="BC95" i="31"/>
  <c r="BD95" i="31"/>
  <c r="BE95" i="31"/>
  <c r="BF95" i="31"/>
  <c r="BG95" i="31"/>
  <c r="BH95" i="31"/>
  <c r="BI95" i="31"/>
  <c r="BJ95" i="31"/>
  <c r="BK95" i="31"/>
  <c r="BL95" i="31"/>
  <c r="BM95" i="31"/>
  <c r="BN95" i="31"/>
  <c r="BO95" i="31"/>
  <c r="BP95" i="31"/>
  <c r="BQ95" i="31"/>
  <c r="BR95" i="31"/>
  <c r="BS95" i="31"/>
  <c r="BT95" i="31"/>
  <c r="BU95" i="31"/>
  <c r="BV95" i="31"/>
  <c r="BW95" i="31"/>
  <c r="BX95" i="31"/>
  <c r="BY95" i="31"/>
  <c r="CA95" i="31"/>
  <c r="CB95" i="31"/>
  <c r="CC95" i="31"/>
  <c r="CD95" i="31"/>
  <c r="CE95" i="31"/>
  <c r="CF95" i="31"/>
  <c r="CG95" i="31"/>
  <c r="CH95" i="31"/>
  <c r="CI95" i="31"/>
  <c r="CJ95" i="31"/>
  <c r="CK95" i="31"/>
  <c r="CL95" i="31"/>
  <c r="CM95" i="31"/>
  <c r="CN95" i="31"/>
  <c r="CO95" i="31"/>
  <c r="CP95" i="31"/>
  <c r="CQ95" i="31"/>
  <c r="CR95" i="31"/>
  <c r="CS95" i="31"/>
  <c r="CT95" i="31"/>
  <c r="CU95" i="31"/>
  <c r="CV95" i="31"/>
  <c r="CW95" i="31"/>
  <c r="CX95" i="31"/>
  <c r="CY95" i="31"/>
  <c r="CZ95" i="31"/>
  <c r="DA95" i="31"/>
  <c r="DB95" i="31"/>
  <c r="DC95" i="31"/>
  <c r="DD95" i="31"/>
  <c r="DE95" i="31"/>
  <c r="DF95" i="31"/>
  <c r="DG95" i="31"/>
  <c r="DH95" i="31"/>
  <c r="DI95" i="31"/>
  <c r="DJ95" i="31"/>
  <c r="AT97" i="31"/>
  <c r="AU97" i="31"/>
  <c r="AV97" i="31"/>
  <c r="AW97" i="31"/>
  <c r="AX97" i="31"/>
  <c r="AY97" i="31"/>
  <c r="AZ97" i="31"/>
  <c r="BA97" i="31"/>
  <c r="BB97" i="31"/>
  <c r="BC97" i="31"/>
  <c r="BD97" i="31"/>
  <c r="BE97" i="31"/>
  <c r="BF97" i="31"/>
  <c r="BG97" i="31"/>
  <c r="BH97" i="31"/>
  <c r="BI97" i="31"/>
  <c r="BJ97" i="31"/>
  <c r="BK97" i="31"/>
  <c r="BL97" i="31"/>
  <c r="BM97" i="31"/>
  <c r="BN97" i="31"/>
  <c r="BO97" i="31"/>
  <c r="BP97" i="31"/>
  <c r="BQ97" i="31"/>
  <c r="BR97" i="31"/>
  <c r="BS97" i="31"/>
  <c r="BT97" i="31"/>
  <c r="BU97" i="31"/>
  <c r="BV97" i="31"/>
  <c r="BW97" i="31"/>
  <c r="BX97" i="31"/>
  <c r="BY97" i="31"/>
  <c r="CA97" i="31"/>
  <c r="CB97" i="31"/>
  <c r="CC97" i="31"/>
  <c r="CD97" i="31"/>
  <c r="CE97" i="31"/>
  <c r="CF97" i="31"/>
  <c r="CG97" i="31"/>
  <c r="CH97" i="31"/>
  <c r="CI97" i="31"/>
  <c r="CJ97" i="31"/>
  <c r="CK97" i="31"/>
  <c r="CL97" i="31"/>
  <c r="CM97" i="31"/>
  <c r="CN97" i="31"/>
  <c r="CO97" i="31"/>
  <c r="CP97" i="31"/>
  <c r="CQ97" i="31"/>
  <c r="CR97" i="31"/>
  <c r="CS97" i="31"/>
  <c r="CT97" i="31"/>
  <c r="CU97" i="31"/>
  <c r="CV97" i="31"/>
  <c r="CW97" i="31"/>
  <c r="CX97" i="31"/>
  <c r="CY97" i="31"/>
  <c r="CZ97" i="31"/>
  <c r="DA97" i="31"/>
  <c r="DB97" i="31"/>
  <c r="DC97" i="31"/>
  <c r="DD97" i="31"/>
  <c r="DE97" i="31"/>
  <c r="DF97" i="31"/>
  <c r="DG97" i="31"/>
  <c r="DH97" i="31"/>
  <c r="DI97" i="31"/>
  <c r="DJ97" i="31"/>
  <c r="AT99" i="31"/>
  <c r="AU99" i="31"/>
  <c r="AV99" i="31"/>
  <c r="AW99" i="31"/>
  <c r="AX99" i="31"/>
  <c r="AY99" i="31"/>
  <c r="AZ99" i="31"/>
  <c r="BA99" i="31"/>
  <c r="BB99" i="31"/>
  <c r="BC99" i="31"/>
  <c r="BD99" i="31"/>
  <c r="BE99" i="31"/>
  <c r="BF99" i="31"/>
  <c r="BG99" i="31"/>
  <c r="BH99" i="31"/>
  <c r="BI99" i="31"/>
  <c r="BJ99" i="31"/>
  <c r="BK99" i="31"/>
  <c r="BL99" i="31"/>
  <c r="BM99" i="31"/>
  <c r="BN99" i="31"/>
  <c r="BO99" i="31"/>
  <c r="BP99" i="31"/>
  <c r="BQ99" i="31"/>
  <c r="BR99" i="31"/>
  <c r="BS99" i="31"/>
  <c r="BT99" i="31"/>
  <c r="BU99" i="31"/>
  <c r="BV99" i="31"/>
  <c r="BW99" i="31"/>
  <c r="BX99" i="31"/>
  <c r="BY99" i="31"/>
  <c r="CA99" i="31"/>
  <c r="CB99" i="31"/>
  <c r="CC99" i="31"/>
  <c r="CD99" i="31"/>
  <c r="CE99" i="31"/>
  <c r="CF99" i="31"/>
  <c r="CG99" i="31"/>
  <c r="CH99" i="31"/>
  <c r="CI99" i="31"/>
  <c r="CJ99" i="31"/>
  <c r="CK99" i="31"/>
  <c r="CL99" i="31"/>
  <c r="CM99" i="31"/>
  <c r="CN99" i="31"/>
  <c r="CO99" i="31"/>
  <c r="CP99" i="31"/>
  <c r="CQ99" i="31"/>
  <c r="CR99" i="31"/>
  <c r="CS99" i="31"/>
  <c r="CT99" i="31"/>
  <c r="CU99" i="31"/>
  <c r="CV99" i="31"/>
  <c r="CW99" i="31"/>
  <c r="CX99" i="31"/>
  <c r="CY99" i="31"/>
  <c r="CZ99" i="31"/>
  <c r="DA99" i="31"/>
  <c r="DB99" i="31"/>
  <c r="DC99" i="31"/>
  <c r="DD99" i="31"/>
  <c r="DE99" i="31"/>
  <c r="DF99" i="31"/>
  <c r="DG99" i="31"/>
  <c r="DH99" i="31"/>
  <c r="DI99" i="31"/>
  <c r="DJ99" i="31"/>
  <c r="AT101" i="31"/>
  <c r="AU101" i="31"/>
  <c r="AV101" i="31"/>
  <c r="AW101" i="31"/>
  <c r="AX101" i="31"/>
  <c r="AY101" i="31"/>
  <c r="AZ101" i="31"/>
  <c r="BA101" i="31"/>
  <c r="BB101" i="31"/>
  <c r="BC101" i="31"/>
  <c r="BD101" i="31"/>
  <c r="BE101" i="31"/>
  <c r="BF101" i="31"/>
  <c r="BG101" i="31"/>
  <c r="BH101" i="31"/>
  <c r="BI101" i="31"/>
  <c r="BJ101" i="31"/>
  <c r="BK101" i="31"/>
  <c r="BL101" i="31"/>
  <c r="BM101" i="31"/>
  <c r="BN101" i="31"/>
  <c r="BO101" i="31"/>
  <c r="BP101" i="31"/>
  <c r="BQ101" i="31"/>
  <c r="BR101" i="31"/>
  <c r="BS101" i="31"/>
  <c r="BT101" i="31"/>
  <c r="BU101" i="31"/>
  <c r="BV101" i="31"/>
  <c r="BW101" i="31"/>
  <c r="BX101" i="31"/>
  <c r="BY101" i="31"/>
  <c r="CA101" i="31"/>
  <c r="CB101" i="31"/>
  <c r="CC101" i="31"/>
  <c r="CD101" i="31"/>
  <c r="CE101" i="31"/>
  <c r="CF101" i="31"/>
  <c r="CG101" i="31"/>
  <c r="CH101" i="31"/>
  <c r="CI101" i="31"/>
  <c r="CJ101" i="31"/>
  <c r="CK101" i="31"/>
  <c r="CL101" i="31"/>
  <c r="CM101" i="31"/>
  <c r="CN101" i="31"/>
  <c r="CO101" i="31"/>
  <c r="CP101" i="31"/>
  <c r="CQ101" i="31"/>
  <c r="CR101" i="31"/>
  <c r="CS101" i="31"/>
  <c r="CT101" i="31"/>
  <c r="CU101" i="31"/>
  <c r="CV101" i="31"/>
  <c r="CW101" i="31"/>
  <c r="CX101" i="31"/>
  <c r="CY101" i="31"/>
  <c r="CZ101" i="31"/>
  <c r="DA101" i="31"/>
  <c r="DB101" i="31"/>
  <c r="DC101" i="31"/>
  <c r="DD101" i="31"/>
  <c r="DE101" i="31"/>
  <c r="DF101" i="31"/>
  <c r="DG101" i="31"/>
  <c r="DH101" i="31"/>
  <c r="DI101" i="31"/>
  <c r="DJ101" i="31"/>
  <c r="AT103" i="31"/>
  <c r="AU103" i="31"/>
  <c r="AV103" i="31"/>
  <c r="AW103" i="31"/>
  <c r="AX103" i="31"/>
  <c r="AY103" i="31"/>
  <c r="AZ103" i="31"/>
  <c r="BA103" i="31"/>
  <c r="BB103" i="31"/>
  <c r="BC103" i="31"/>
  <c r="BD103" i="31"/>
  <c r="BE103" i="31"/>
  <c r="BF103" i="31"/>
  <c r="BG103" i="31"/>
  <c r="BH103" i="31"/>
  <c r="BI103" i="31"/>
  <c r="BJ103" i="31"/>
  <c r="BK103" i="31"/>
  <c r="BL103" i="31"/>
  <c r="BM103" i="31"/>
  <c r="BN103" i="31"/>
  <c r="BO103" i="31"/>
  <c r="BP103" i="31"/>
  <c r="BQ103" i="31"/>
  <c r="BR103" i="31"/>
  <c r="BS103" i="31"/>
  <c r="BT103" i="31"/>
  <c r="BU103" i="31"/>
  <c r="BV103" i="31"/>
  <c r="BW103" i="31"/>
  <c r="BX103" i="31"/>
  <c r="BY103" i="31"/>
  <c r="CA103" i="31"/>
  <c r="CB103" i="31"/>
  <c r="CC103" i="31"/>
  <c r="CD103" i="31"/>
  <c r="CE103" i="31"/>
  <c r="CF103" i="31"/>
  <c r="CG103" i="31"/>
  <c r="CH103" i="31"/>
  <c r="CI103" i="31"/>
  <c r="CJ103" i="31"/>
  <c r="CK103" i="31"/>
  <c r="CL103" i="31"/>
  <c r="CM103" i="31"/>
  <c r="CN103" i="31"/>
  <c r="CO103" i="31"/>
  <c r="CP103" i="31"/>
  <c r="CQ103" i="31"/>
  <c r="CR103" i="31"/>
  <c r="CS103" i="31"/>
  <c r="CT103" i="31"/>
  <c r="CU103" i="31"/>
  <c r="CV103" i="31"/>
  <c r="CW103" i="31"/>
  <c r="CX103" i="31"/>
  <c r="CY103" i="31"/>
  <c r="CZ103" i="31"/>
  <c r="DA103" i="31"/>
  <c r="DB103" i="31"/>
  <c r="DC103" i="31"/>
  <c r="DD103" i="31"/>
  <c r="DE103" i="31"/>
  <c r="DF103" i="31"/>
  <c r="DG103" i="31"/>
  <c r="DH103" i="31"/>
  <c r="DI103" i="31"/>
  <c r="DJ103" i="31"/>
  <c r="AT105" i="31"/>
  <c r="AU105" i="31"/>
  <c r="AV105" i="31"/>
  <c r="AW105" i="31"/>
  <c r="AX105" i="31"/>
  <c r="AY105" i="31"/>
  <c r="AZ105" i="31"/>
  <c r="BA105" i="31"/>
  <c r="BB105" i="31"/>
  <c r="BC105" i="31"/>
  <c r="BD105" i="31"/>
  <c r="BE105" i="31"/>
  <c r="BF105" i="31"/>
  <c r="BG105" i="31"/>
  <c r="BH105" i="31"/>
  <c r="BI105" i="31"/>
  <c r="BJ105" i="31"/>
  <c r="BK105" i="31"/>
  <c r="BL105" i="31"/>
  <c r="BM105" i="31"/>
  <c r="BN105" i="31"/>
  <c r="BO105" i="31"/>
  <c r="BP105" i="31"/>
  <c r="BQ105" i="31"/>
  <c r="BR105" i="31"/>
  <c r="BS105" i="31"/>
  <c r="BT105" i="31"/>
  <c r="BU105" i="31"/>
  <c r="BV105" i="31"/>
  <c r="BW105" i="31"/>
  <c r="BX105" i="31"/>
  <c r="BY105" i="31"/>
  <c r="CA105" i="31"/>
  <c r="CB105" i="31"/>
  <c r="CC105" i="31"/>
  <c r="CD105" i="31"/>
  <c r="CE105" i="31"/>
  <c r="CF105" i="31"/>
  <c r="CG105" i="31"/>
  <c r="CH105" i="31"/>
  <c r="CI105" i="31"/>
  <c r="CJ105" i="31"/>
  <c r="CK105" i="31"/>
  <c r="CL105" i="31"/>
  <c r="CM105" i="31"/>
  <c r="CN105" i="31"/>
  <c r="CO105" i="31"/>
  <c r="CP105" i="31"/>
  <c r="CQ105" i="31"/>
  <c r="CR105" i="31"/>
  <c r="CS105" i="31"/>
  <c r="CT105" i="31"/>
  <c r="CU105" i="31"/>
  <c r="CV105" i="31"/>
  <c r="CW105" i="31"/>
  <c r="CX105" i="31"/>
  <c r="CY105" i="31"/>
  <c r="CZ105" i="31"/>
  <c r="DA105" i="31"/>
  <c r="DB105" i="31"/>
  <c r="DC105" i="31"/>
  <c r="DD105" i="31"/>
  <c r="DE105" i="31"/>
  <c r="DF105" i="31"/>
  <c r="DG105" i="31"/>
  <c r="DH105" i="31"/>
  <c r="DI105" i="31"/>
  <c r="DJ105" i="31"/>
  <c r="AT107" i="31"/>
  <c r="AU107" i="31"/>
  <c r="AV107" i="31"/>
  <c r="AW107" i="31"/>
  <c r="AX107" i="31"/>
  <c r="AY107" i="31"/>
  <c r="AZ107" i="31"/>
  <c r="BA107" i="31"/>
  <c r="BB107" i="31"/>
  <c r="BC107" i="31"/>
  <c r="BD107" i="31"/>
  <c r="BE107" i="31"/>
  <c r="BF107" i="31"/>
  <c r="BG107" i="31"/>
  <c r="BH107" i="31"/>
  <c r="BI107" i="31"/>
  <c r="BJ107" i="31"/>
  <c r="BK107" i="31"/>
  <c r="BL107" i="31"/>
  <c r="BM107" i="31"/>
  <c r="BN107" i="31"/>
  <c r="BO107" i="31"/>
  <c r="BP107" i="31"/>
  <c r="BQ107" i="31"/>
  <c r="BR107" i="31"/>
  <c r="BS107" i="31"/>
  <c r="BT107" i="31"/>
  <c r="BU107" i="31"/>
  <c r="BV107" i="31"/>
  <c r="BW107" i="31"/>
  <c r="BX107" i="31"/>
  <c r="BY107" i="31"/>
  <c r="CA107" i="31"/>
  <c r="CB107" i="31"/>
  <c r="CC107" i="31"/>
  <c r="CD107" i="31"/>
  <c r="CE107" i="31"/>
  <c r="CF107" i="31"/>
  <c r="CG107" i="31"/>
  <c r="CH107" i="31"/>
  <c r="CI107" i="31"/>
  <c r="CJ107" i="31"/>
  <c r="CK107" i="31"/>
  <c r="CL107" i="31"/>
  <c r="CM107" i="31"/>
  <c r="CN107" i="31"/>
  <c r="CO107" i="31"/>
  <c r="CP107" i="31"/>
  <c r="CQ107" i="31"/>
  <c r="CR107" i="31"/>
  <c r="CS107" i="31"/>
  <c r="CT107" i="31"/>
  <c r="CU107" i="31"/>
  <c r="CV107" i="31"/>
  <c r="CW107" i="31"/>
  <c r="CX107" i="31"/>
  <c r="CY107" i="31"/>
  <c r="CZ107" i="31"/>
  <c r="DA107" i="31"/>
  <c r="DB107" i="31"/>
  <c r="DC107" i="31"/>
  <c r="DD107" i="31"/>
  <c r="DE107" i="31"/>
  <c r="DF107" i="31"/>
  <c r="DG107" i="31"/>
  <c r="DH107" i="31"/>
  <c r="DI107" i="31"/>
  <c r="DJ107" i="31"/>
  <c r="AT109" i="31"/>
  <c r="AU109" i="31"/>
  <c r="AV109" i="31"/>
  <c r="AW109" i="31"/>
  <c r="AX109" i="31"/>
  <c r="AY109" i="31"/>
  <c r="AZ109" i="31"/>
  <c r="BA109" i="31"/>
  <c r="BB109" i="31"/>
  <c r="BC109" i="31"/>
  <c r="BD109" i="31"/>
  <c r="BE109" i="31"/>
  <c r="BF109" i="31"/>
  <c r="BG109" i="31"/>
  <c r="BH109" i="31"/>
  <c r="BI109" i="31"/>
  <c r="BJ109" i="31"/>
  <c r="BK109" i="31"/>
  <c r="BL109" i="31"/>
  <c r="BM109" i="31"/>
  <c r="BN109" i="31"/>
  <c r="BO109" i="31"/>
  <c r="BP109" i="31"/>
  <c r="BQ109" i="31"/>
  <c r="BR109" i="31"/>
  <c r="BS109" i="31"/>
  <c r="BT109" i="31"/>
  <c r="BU109" i="31"/>
  <c r="BV109" i="31"/>
  <c r="BW109" i="31"/>
  <c r="BX109" i="31"/>
  <c r="BY109" i="31"/>
  <c r="CA109" i="31"/>
  <c r="CB109" i="31"/>
  <c r="CC109" i="31"/>
  <c r="CD109" i="31"/>
  <c r="CE109" i="31"/>
  <c r="CF109" i="31"/>
  <c r="CG109" i="31"/>
  <c r="CH109" i="31"/>
  <c r="CI109" i="31"/>
  <c r="CJ109" i="31"/>
  <c r="CK109" i="31"/>
  <c r="CL109" i="31"/>
  <c r="CM109" i="31"/>
  <c r="CN109" i="31"/>
  <c r="CO109" i="31"/>
  <c r="CP109" i="31"/>
  <c r="CQ109" i="31"/>
  <c r="CR109" i="31"/>
  <c r="CS109" i="31"/>
  <c r="CT109" i="31"/>
  <c r="CU109" i="31"/>
  <c r="CV109" i="31"/>
  <c r="CW109" i="31"/>
  <c r="CX109" i="31"/>
  <c r="CY109" i="31"/>
  <c r="CZ109" i="31"/>
  <c r="DA109" i="31"/>
  <c r="DB109" i="31"/>
  <c r="DC109" i="31"/>
  <c r="DD109" i="31"/>
  <c r="DE109" i="31"/>
  <c r="DF109" i="31"/>
  <c r="DG109" i="31"/>
  <c r="DH109" i="31"/>
  <c r="DI109" i="31"/>
  <c r="DJ109" i="31"/>
  <c r="J589" i="30"/>
  <c r="K589" i="30"/>
  <c r="L589" i="30"/>
  <c r="M589" i="30"/>
  <c r="N589" i="30"/>
  <c r="O589" i="30"/>
  <c r="P589" i="30"/>
  <c r="Q589" i="30"/>
  <c r="R589" i="30"/>
  <c r="S589" i="30"/>
  <c r="T589" i="30"/>
  <c r="U589" i="30"/>
  <c r="V589" i="30"/>
  <c r="W589" i="30"/>
  <c r="X589" i="30"/>
  <c r="Y589" i="30"/>
  <c r="Z589" i="30"/>
  <c r="AA589" i="30"/>
  <c r="AB589" i="30"/>
  <c r="AC589" i="30"/>
  <c r="AD589" i="30"/>
  <c r="AE589" i="30"/>
  <c r="AF589" i="30"/>
  <c r="AG589" i="30"/>
  <c r="AH589" i="30"/>
  <c r="AI589" i="30"/>
  <c r="AJ589" i="30"/>
  <c r="AK589" i="30"/>
  <c r="AL589" i="30"/>
  <c r="AM589" i="30"/>
  <c r="AN589" i="30"/>
  <c r="AO589" i="30"/>
  <c r="AP589" i="30"/>
  <c r="AQ589" i="30"/>
  <c r="AR589" i="30"/>
  <c r="AS589" i="30"/>
  <c r="J591" i="30"/>
  <c r="J593" i="30"/>
  <c r="D13" i="29"/>
  <c r="D17" i="29"/>
  <c r="E13" i="29"/>
  <c r="E19" i="29"/>
  <c r="F13" i="29"/>
  <c r="F17" i="29"/>
  <c r="G13" i="29"/>
  <c r="G23" i="29"/>
  <c r="H13" i="29"/>
  <c r="H27" i="29"/>
  <c r="I13" i="29"/>
  <c r="I17" i="29"/>
  <c r="J13" i="29"/>
  <c r="K13" i="29"/>
  <c r="K17" i="29"/>
  <c r="L13" i="29"/>
  <c r="L17" i="29"/>
  <c r="M13" i="29"/>
  <c r="M25" i="29"/>
  <c r="N13" i="29"/>
  <c r="O13" i="29"/>
  <c r="O19" i="29"/>
  <c r="P13" i="29"/>
  <c r="P18" i="29"/>
  <c r="Q13" i="29"/>
  <c r="Q17" i="29"/>
  <c r="R13" i="29"/>
  <c r="S13" i="29"/>
  <c r="S17" i="29"/>
  <c r="T13" i="29"/>
  <c r="T17" i="29"/>
  <c r="U13" i="29"/>
  <c r="U27" i="29"/>
  <c r="V13" i="29"/>
  <c r="V19" i="29"/>
  <c r="W13" i="29"/>
  <c r="W24" i="29"/>
  <c r="X13" i="29"/>
  <c r="X27" i="29"/>
  <c r="Y13" i="29"/>
  <c r="Y17" i="29"/>
  <c r="Z13" i="29"/>
  <c r="AA13" i="29"/>
  <c r="AA17" i="29"/>
  <c r="AB13" i="29"/>
  <c r="AB17" i="29"/>
  <c r="AC13" i="29"/>
  <c r="AC19" i="29"/>
  <c r="AD13" i="29"/>
  <c r="AE13" i="29"/>
  <c r="AE24" i="29"/>
  <c r="AF13" i="29"/>
  <c r="AF28" i="29"/>
  <c r="AG13" i="29"/>
  <c r="AG17" i="29"/>
  <c r="AH13" i="29"/>
  <c r="AI13" i="29"/>
  <c r="AI17" i="29"/>
  <c r="AJ13" i="29"/>
  <c r="AJ17" i="29"/>
  <c r="AK13" i="29"/>
  <c r="AK19" i="29"/>
  <c r="AL13" i="29"/>
  <c r="AL18" i="29"/>
  <c r="AM13" i="29"/>
  <c r="AM24" i="29"/>
  <c r="H17" i="29"/>
  <c r="J17" i="29"/>
  <c r="N17" i="29"/>
  <c r="R17" i="29"/>
  <c r="V17" i="29"/>
  <c r="Z17" i="29"/>
  <c r="AD17" i="29"/>
  <c r="AH17" i="29"/>
  <c r="AL17" i="29"/>
  <c r="E18" i="29"/>
  <c r="J18" i="29"/>
  <c r="N18" i="29"/>
  <c r="R18" i="29"/>
  <c r="U18" i="29"/>
  <c r="V18" i="29"/>
  <c r="Z18" i="29"/>
  <c r="AC18" i="29"/>
  <c r="AD18" i="29"/>
  <c r="AH18" i="29"/>
  <c r="AJ18" i="29"/>
  <c r="AK18" i="29"/>
  <c r="F19" i="29"/>
  <c r="H19" i="29"/>
  <c r="J19" i="29"/>
  <c r="N19" i="29"/>
  <c r="R19" i="29"/>
  <c r="X19" i="29"/>
  <c r="Z19" i="29"/>
  <c r="AD19" i="29"/>
  <c r="AH19" i="29"/>
  <c r="AL19" i="29"/>
  <c r="F20" i="29"/>
  <c r="H20" i="29"/>
  <c r="J20" i="29"/>
  <c r="N20" i="29"/>
  <c r="P20" i="29"/>
  <c r="R20" i="29"/>
  <c r="V20" i="29"/>
  <c r="X20" i="29"/>
  <c r="Z20" i="29"/>
  <c r="AD20" i="29"/>
  <c r="AF20" i="29"/>
  <c r="AH20" i="29"/>
  <c r="AL20" i="29"/>
  <c r="E21" i="29"/>
  <c r="F21" i="29"/>
  <c r="J21" i="29"/>
  <c r="N21" i="29"/>
  <c r="P21" i="29"/>
  <c r="R21" i="29"/>
  <c r="U21" i="29"/>
  <c r="V21" i="29"/>
  <c r="W21" i="29"/>
  <c r="X21" i="29"/>
  <c r="Y21" i="29"/>
  <c r="Z21" i="29"/>
  <c r="AC21" i="29"/>
  <c r="AD21" i="29"/>
  <c r="AH21" i="29"/>
  <c r="AK21" i="29"/>
  <c r="AL21" i="29"/>
  <c r="F22" i="29"/>
  <c r="J22" i="29"/>
  <c r="N22" i="29"/>
  <c r="R22" i="29"/>
  <c r="V22" i="29"/>
  <c r="Z22" i="29"/>
  <c r="AD22" i="29"/>
  <c r="AH22" i="29"/>
  <c r="AL22" i="29"/>
  <c r="F23" i="29"/>
  <c r="J23" i="29"/>
  <c r="M23" i="29"/>
  <c r="N23" i="29"/>
  <c r="R23" i="29"/>
  <c r="V23" i="29"/>
  <c r="X23" i="29"/>
  <c r="Z23" i="29"/>
  <c r="AD23" i="29"/>
  <c r="AH23" i="29"/>
  <c r="AL23" i="29"/>
  <c r="D24" i="29"/>
  <c r="F24" i="29"/>
  <c r="J24" i="29"/>
  <c r="L24" i="29"/>
  <c r="N24" i="29"/>
  <c r="R24" i="29"/>
  <c r="T24" i="29"/>
  <c r="V24" i="29"/>
  <c r="Z24" i="29"/>
  <c r="AB24" i="29"/>
  <c r="AD24" i="29"/>
  <c r="AH24" i="29"/>
  <c r="AJ24" i="29"/>
  <c r="AL24" i="29"/>
  <c r="E25" i="29"/>
  <c r="F25" i="29"/>
  <c r="H25" i="29"/>
  <c r="J25" i="29"/>
  <c r="N25" i="29"/>
  <c r="R25" i="29"/>
  <c r="U25" i="29"/>
  <c r="V25" i="29"/>
  <c r="Z25" i="29"/>
  <c r="AD25" i="29"/>
  <c r="AF25" i="29"/>
  <c r="AH25" i="29"/>
  <c r="AL25" i="29"/>
  <c r="E26" i="29"/>
  <c r="F26" i="29"/>
  <c r="J26" i="29"/>
  <c r="N26" i="29"/>
  <c r="P26" i="29"/>
  <c r="R26" i="29"/>
  <c r="U26" i="29"/>
  <c r="V26" i="29"/>
  <c r="Z26" i="29"/>
  <c r="AB26" i="29"/>
  <c r="AC26" i="29"/>
  <c r="AD26" i="29"/>
  <c r="AH26" i="29"/>
  <c r="AK26" i="29"/>
  <c r="AL26" i="29"/>
  <c r="F27" i="29"/>
  <c r="J27" i="29"/>
  <c r="N27" i="29"/>
  <c r="R27" i="29"/>
  <c r="V27" i="29"/>
  <c r="Z27" i="29"/>
  <c r="AD27" i="29"/>
  <c r="AH27" i="29"/>
  <c r="AL27" i="29"/>
  <c r="F28" i="29"/>
  <c r="J28" i="29"/>
  <c r="L28" i="29"/>
  <c r="N28" i="29"/>
  <c r="R28" i="29"/>
  <c r="T28" i="29"/>
  <c r="V28" i="29"/>
  <c r="Z28" i="29"/>
  <c r="AD28" i="29"/>
  <c r="AH28" i="29"/>
  <c r="AL28" i="29"/>
  <c r="R56" i="28"/>
  <c r="C58" i="28"/>
  <c r="D58" i="28"/>
  <c r="E58" i="28"/>
  <c r="F58" i="28"/>
  <c r="G58" i="28"/>
  <c r="H58" i="28"/>
  <c r="I58" i="28"/>
  <c r="J58" i="28"/>
  <c r="K58" i="28"/>
  <c r="L58" i="28"/>
  <c r="M58" i="28"/>
  <c r="N58" i="28"/>
  <c r="O58" i="28"/>
  <c r="P58" i="28"/>
  <c r="Q58" i="28"/>
  <c r="R58" i="28"/>
  <c r="B59" i="28"/>
  <c r="B77" i="28"/>
  <c r="B60" i="28"/>
  <c r="B78" i="28"/>
  <c r="B94" i="28"/>
  <c r="C60" i="28"/>
  <c r="D60" i="28"/>
  <c r="E60" i="28"/>
  <c r="F60" i="28"/>
  <c r="G60" i="28"/>
  <c r="H60" i="28"/>
  <c r="I60" i="28"/>
  <c r="H77" i="28"/>
  <c r="H94" i="28"/>
  <c r="J60" i="28"/>
  <c r="K60" i="28"/>
  <c r="L60" i="28"/>
  <c r="M60" i="28"/>
  <c r="N60" i="28"/>
  <c r="O60" i="28"/>
  <c r="P60" i="28"/>
  <c r="Q60" i="28"/>
  <c r="R60" i="28"/>
  <c r="B61" i="28"/>
  <c r="B79" i="28"/>
  <c r="B95" i="28"/>
  <c r="C61" i="28"/>
  <c r="M78" i="28"/>
  <c r="M95" i="28"/>
  <c r="D61" i="28"/>
  <c r="C78" i="28"/>
  <c r="C95" i="28"/>
  <c r="E61" i="28"/>
  <c r="F61" i="28"/>
  <c r="G61" i="28"/>
  <c r="H61" i="28"/>
  <c r="I61" i="28"/>
  <c r="J61" i="28"/>
  <c r="K61" i="28"/>
  <c r="L61" i="28"/>
  <c r="M61" i="28"/>
  <c r="N61" i="28"/>
  <c r="O61" i="28"/>
  <c r="E78" i="28"/>
  <c r="E95" i="28"/>
  <c r="P61" i="28"/>
  <c r="F78" i="28"/>
  <c r="F95" i="28"/>
  <c r="Q61" i="28"/>
  <c r="R61" i="28"/>
  <c r="B62" i="28"/>
  <c r="B80" i="28"/>
  <c r="B96" i="28"/>
  <c r="C62" i="28"/>
  <c r="M79" i="28"/>
  <c r="D62" i="28"/>
  <c r="C79" i="28"/>
  <c r="C96" i="28"/>
  <c r="E62" i="28"/>
  <c r="F62" i="28"/>
  <c r="G62" i="28"/>
  <c r="H62" i="28"/>
  <c r="I62" i="28"/>
  <c r="H79" i="28"/>
  <c r="H96" i="28"/>
  <c r="J62" i="28"/>
  <c r="K62" i="28"/>
  <c r="L62" i="28"/>
  <c r="M62" i="28"/>
  <c r="N62" i="28"/>
  <c r="O62" i="28"/>
  <c r="E79" i="28"/>
  <c r="P62" i="28"/>
  <c r="Q62" i="28"/>
  <c r="R62" i="28"/>
  <c r="B63" i="28"/>
  <c r="B81" i="28"/>
  <c r="B97" i="28"/>
  <c r="C63" i="28"/>
  <c r="D63" i="28"/>
  <c r="E63" i="28"/>
  <c r="F63" i="28"/>
  <c r="G63" i="28"/>
  <c r="H63" i="28"/>
  <c r="I63" i="28"/>
  <c r="J63" i="28"/>
  <c r="K63" i="28"/>
  <c r="L63" i="28"/>
  <c r="M63" i="28"/>
  <c r="N63" i="28"/>
  <c r="O63" i="28"/>
  <c r="E80" i="28"/>
  <c r="E97" i="28"/>
  <c r="P63" i="28"/>
  <c r="Q63" i="28"/>
  <c r="R63" i="28"/>
  <c r="B64" i="28"/>
  <c r="B82" i="28"/>
  <c r="B98" i="28"/>
  <c r="C64" i="28"/>
  <c r="D64" i="28"/>
  <c r="C81" i="28"/>
  <c r="C98" i="28"/>
  <c r="E64" i="28"/>
  <c r="F64" i="28"/>
  <c r="G64" i="28"/>
  <c r="H64" i="28"/>
  <c r="I64" i="28"/>
  <c r="H81" i="28"/>
  <c r="H98" i="28"/>
  <c r="J64" i="28"/>
  <c r="K64" i="28"/>
  <c r="L64" i="28"/>
  <c r="M64" i="28"/>
  <c r="N64" i="28"/>
  <c r="O64" i="28"/>
  <c r="E81" i="28"/>
  <c r="E98" i="28"/>
  <c r="P64" i="28"/>
  <c r="Q64" i="28"/>
  <c r="R64" i="28"/>
  <c r="B65" i="28"/>
  <c r="C65" i="28"/>
  <c r="M82" i="28"/>
  <c r="M99" i="28"/>
  <c r="D65" i="28"/>
  <c r="C82" i="28"/>
  <c r="C99" i="28"/>
  <c r="E65" i="28"/>
  <c r="F65" i="28"/>
  <c r="G65" i="28"/>
  <c r="H65" i="28"/>
  <c r="I65" i="28"/>
  <c r="J65" i="28"/>
  <c r="K65" i="28"/>
  <c r="L65" i="28"/>
  <c r="M65" i="28"/>
  <c r="N65" i="28"/>
  <c r="O65" i="28"/>
  <c r="E82" i="28"/>
  <c r="E99" i="28"/>
  <c r="P65" i="28"/>
  <c r="Q65" i="28"/>
  <c r="R65" i="28"/>
  <c r="B66" i="28"/>
  <c r="B84" i="28"/>
  <c r="B100" i="28"/>
  <c r="C66" i="28"/>
  <c r="M83" i="28"/>
  <c r="M100" i="28"/>
  <c r="D66" i="28"/>
  <c r="E66" i="28"/>
  <c r="F66" i="28"/>
  <c r="G66" i="28"/>
  <c r="H66" i="28"/>
  <c r="I66" i="28"/>
  <c r="J66" i="28"/>
  <c r="K66" i="28"/>
  <c r="L66" i="28"/>
  <c r="M66" i="28"/>
  <c r="N66" i="28"/>
  <c r="O66" i="28"/>
  <c r="E83" i="28"/>
  <c r="E100" i="28"/>
  <c r="P66" i="28"/>
  <c r="Q66" i="28"/>
  <c r="R66" i="28"/>
  <c r="B67" i="28"/>
  <c r="B85" i="28"/>
  <c r="B101" i="28"/>
  <c r="C67" i="28"/>
  <c r="M84" i="28"/>
  <c r="M101" i="28"/>
  <c r="D67" i="28"/>
  <c r="C84" i="28"/>
  <c r="C101" i="28"/>
  <c r="E67" i="28"/>
  <c r="F67" i="28"/>
  <c r="G67" i="28"/>
  <c r="H67" i="28"/>
  <c r="I67" i="28"/>
  <c r="J67" i="28"/>
  <c r="K67" i="28"/>
  <c r="L67" i="28"/>
  <c r="M67" i="28"/>
  <c r="N67" i="28"/>
  <c r="P67" i="28"/>
  <c r="F84" i="28"/>
  <c r="F101" i="28"/>
  <c r="O67" i="28"/>
  <c r="E84" i="28"/>
  <c r="E101" i="28"/>
  <c r="Q67" i="28"/>
  <c r="R67" i="28"/>
  <c r="B68" i="28"/>
  <c r="B86" i="28"/>
  <c r="B102" i="28"/>
  <c r="C68" i="28"/>
  <c r="M85" i="28"/>
  <c r="M102" i="28"/>
  <c r="D68" i="28"/>
  <c r="C85" i="28"/>
  <c r="C102" i="28"/>
  <c r="E68" i="28"/>
  <c r="F68" i="28"/>
  <c r="G68" i="28"/>
  <c r="H68" i="28"/>
  <c r="I68" i="28"/>
  <c r="H85" i="28"/>
  <c r="H102" i="28"/>
  <c r="J68" i="28"/>
  <c r="K68" i="28"/>
  <c r="L68" i="28"/>
  <c r="M68" i="28"/>
  <c r="N68" i="28"/>
  <c r="O68" i="28"/>
  <c r="P68" i="28"/>
  <c r="Q68" i="28"/>
  <c r="R68" i="28"/>
  <c r="B69" i="28"/>
  <c r="B87" i="28"/>
  <c r="B103" i="28"/>
  <c r="C69" i="28"/>
  <c r="M86" i="28"/>
  <c r="M103" i="28"/>
  <c r="D69" i="28"/>
  <c r="C86" i="28"/>
  <c r="C103" i="28"/>
  <c r="E69" i="28"/>
  <c r="F69" i="28"/>
  <c r="G69" i="28"/>
  <c r="H69" i="28"/>
  <c r="I69" i="28"/>
  <c r="J69" i="28"/>
  <c r="K69" i="28"/>
  <c r="L69" i="28"/>
  <c r="D86" i="28"/>
  <c r="D103" i="28"/>
  <c r="M69" i="28"/>
  <c r="N69" i="28"/>
  <c r="O69" i="28"/>
  <c r="P69" i="28"/>
  <c r="F86" i="28"/>
  <c r="F103" i="28"/>
  <c r="Q69" i="28"/>
  <c r="R69" i="28"/>
  <c r="B70" i="28"/>
  <c r="B88" i="28"/>
  <c r="B104" i="28"/>
  <c r="C70" i="28"/>
  <c r="D70" i="28"/>
  <c r="C87" i="28"/>
  <c r="C104" i="28"/>
  <c r="E70" i="28"/>
  <c r="F70" i="28"/>
  <c r="G70" i="28"/>
  <c r="H70" i="28"/>
  <c r="I70" i="28"/>
  <c r="H87" i="28"/>
  <c r="H104" i="28"/>
  <c r="J70" i="28"/>
  <c r="K70" i="28"/>
  <c r="L70" i="28"/>
  <c r="M70" i="28"/>
  <c r="N70" i="28"/>
  <c r="O70" i="28"/>
  <c r="E87" i="28"/>
  <c r="E104" i="28"/>
  <c r="P70" i="28"/>
  <c r="Q70" i="28"/>
  <c r="R70" i="28"/>
  <c r="B71" i="28"/>
  <c r="B89" i="28"/>
  <c r="B105" i="28"/>
  <c r="C71" i="28"/>
  <c r="D71" i="28"/>
  <c r="C88" i="28"/>
  <c r="C105" i="28"/>
  <c r="E71" i="28"/>
  <c r="F71" i="28"/>
  <c r="Q71" i="28"/>
  <c r="L88" i="28"/>
  <c r="L105" i="28"/>
  <c r="G71" i="28"/>
  <c r="H71" i="28"/>
  <c r="I71" i="28"/>
  <c r="J71" i="28"/>
  <c r="K71" i="28"/>
  <c r="L71" i="28"/>
  <c r="M71" i="28"/>
  <c r="N71" i="28"/>
  <c r="O71" i="28"/>
  <c r="E88" i="28"/>
  <c r="E105" i="28"/>
  <c r="P71" i="28"/>
  <c r="R71" i="28"/>
  <c r="B72" i="28"/>
  <c r="B90" i="28"/>
  <c r="B106" i="28"/>
  <c r="C72" i="28"/>
  <c r="M89" i="28"/>
  <c r="M106" i="28"/>
  <c r="D72" i="28"/>
  <c r="C89" i="28"/>
  <c r="C106" i="28"/>
  <c r="E72" i="28"/>
  <c r="F72" i="28"/>
  <c r="G72" i="28"/>
  <c r="H72" i="28"/>
  <c r="I72" i="28"/>
  <c r="H89" i="28"/>
  <c r="H106" i="28"/>
  <c r="J72" i="28"/>
  <c r="K72" i="28"/>
  <c r="L72" i="28"/>
  <c r="M72" i="28"/>
  <c r="N72" i="28"/>
  <c r="O72" i="28"/>
  <c r="E89" i="28"/>
  <c r="E106" i="28"/>
  <c r="P72" i="28"/>
  <c r="Q72" i="28"/>
  <c r="R72" i="28"/>
  <c r="B73" i="28"/>
  <c r="C73" i="28"/>
  <c r="M90" i="28"/>
  <c r="M107" i="28"/>
  <c r="D73" i="28"/>
  <c r="C90" i="28"/>
  <c r="C107" i="28"/>
  <c r="E73" i="28"/>
  <c r="F73" i="28"/>
  <c r="G73" i="28"/>
  <c r="H73" i="28"/>
  <c r="I73" i="28"/>
  <c r="J73" i="28"/>
  <c r="K73" i="28"/>
  <c r="L73" i="28"/>
  <c r="D90" i="28"/>
  <c r="D107" i="28"/>
  <c r="M73" i="28"/>
  <c r="N73" i="28"/>
  <c r="O73" i="28"/>
  <c r="E90" i="28"/>
  <c r="E107" i="28"/>
  <c r="P73" i="28"/>
  <c r="Q73" i="28"/>
  <c r="R73" i="28"/>
  <c r="C77" i="28"/>
  <c r="E77" i="28"/>
  <c r="E94" i="28"/>
  <c r="M77" i="28"/>
  <c r="M94" i="28"/>
  <c r="F79" i="28"/>
  <c r="F96" i="28"/>
  <c r="J79" i="28"/>
  <c r="J96" i="28"/>
  <c r="C80" i="28"/>
  <c r="C97" i="28"/>
  <c r="G80" i="28"/>
  <c r="G97" i="28"/>
  <c r="M81" i="28"/>
  <c r="B83" i="28"/>
  <c r="B99" i="28"/>
  <c r="C83" i="28"/>
  <c r="C100" i="28"/>
  <c r="E85" i="28"/>
  <c r="E102" i="28"/>
  <c r="E86" i="28"/>
  <c r="E103" i="28"/>
  <c r="L87" i="28"/>
  <c r="L104" i="28"/>
  <c r="B91" i="28"/>
  <c r="B107" i="28"/>
  <c r="C91" i="28"/>
  <c r="D91" i="28"/>
  <c r="E91" i="28"/>
  <c r="F91" i="28"/>
  <c r="G91" i="28"/>
  <c r="H91" i="28"/>
  <c r="I91" i="28"/>
  <c r="J91" i="28"/>
  <c r="L91" i="28"/>
  <c r="M91" i="28"/>
  <c r="N93" i="28"/>
  <c r="O93" i="28"/>
  <c r="M98" i="28"/>
  <c r="F114" i="28"/>
  <c r="I114" i="28"/>
  <c r="F115" i="28"/>
  <c r="I115" i="28"/>
  <c r="C119" i="28"/>
  <c r="D119" i="28"/>
  <c r="E119" i="28"/>
  <c r="F119" i="28"/>
  <c r="G119" i="28"/>
  <c r="H119" i="28"/>
  <c r="I119" i="28"/>
  <c r="J119" i="28"/>
  <c r="K119" i="28"/>
  <c r="L119" i="28"/>
  <c r="M119" i="28"/>
  <c r="C120" i="28"/>
  <c r="D120" i="28"/>
  <c r="E120" i="28"/>
  <c r="F120" i="28"/>
  <c r="G120" i="28"/>
  <c r="H120" i="28"/>
  <c r="I120" i="28"/>
  <c r="J120" i="28"/>
  <c r="K120" i="28"/>
  <c r="L120" i="28"/>
  <c r="M120" i="28"/>
  <c r="C122" i="28"/>
  <c r="D122" i="28"/>
  <c r="E122" i="28"/>
  <c r="F122" i="28"/>
  <c r="G122" i="28"/>
  <c r="H122" i="28"/>
  <c r="I122" i="28"/>
  <c r="J122" i="28"/>
  <c r="K122" i="28"/>
  <c r="L122" i="28"/>
  <c r="M122" i="28"/>
  <c r="H88" i="28"/>
  <c r="H105" i="28"/>
  <c r="I90" i="28"/>
  <c r="I107" i="28"/>
  <c r="L86" i="28"/>
  <c r="L103" i="28"/>
  <c r="L83" i="28"/>
  <c r="L100" i="28"/>
  <c r="H83" i="28"/>
  <c r="H100" i="28"/>
  <c r="D80" i="28"/>
  <c r="D97" i="28"/>
  <c r="AB28" i="29"/>
  <c r="AF27" i="29"/>
  <c r="AF26" i="29"/>
  <c r="S26" i="29"/>
  <c r="M26" i="29"/>
  <c r="H26" i="29"/>
  <c r="AK25" i="29"/>
  <c r="P25" i="29"/>
  <c r="AC23" i="29"/>
  <c r="AK22" i="29"/>
  <c r="AC22" i="29"/>
  <c r="U22" i="29"/>
  <c r="M22" i="29"/>
  <c r="E22" i="29"/>
  <c r="P19" i="29"/>
  <c r="X18" i="29"/>
  <c r="T18" i="29"/>
  <c r="M18" i="29"/>
  <c r="D18" i="29"/>
  <c r="H84" i="28"/>
  <c r="H101" i="28"/>
  <c r="F89" i="28"/>
  <c r="F106" i="28"/>
  <c r="F83" i="28"/>
  <c r="F100" i="28"/>
  <c r="F81" i="28"/>
  <c r="F98" i="28"/>
  <c r="AJ28" i="29"/>
  <c r="D28" i="29"/>
  <c r="P27" i="29"/>
  <c r="X26" i="29"/>
  <c r="L26" i="29"/>
  <c r="AF24" i="29"/>
  <c r="X24" i="29"/>
  <c r="P24" i="29"/>
  <c r="H24" i="29"/>
  <c r="O23" i="29"/>
  <c r="H23" i="29"/>
  <c r="AI22" i="29"/>
  <c r="AA22" i="29"/>
  <c r="S22" i="29"/>
  <c r="K22" i="29"/>
  <c r="AM21" i="29"/>
  <c r="AF21" i="29"/>
  <c r="AJ20" i="29"/>
  <c r="AB20" i="29"/>
  <c r="T20" i="29"/>
  <c r="L20" i="29"/>
  <c r="D20" i="29"/>
  <c r="AM18" i="29"/>
  <c r="W18" i="29"/>
  <c r="X17" i="29"/>
  <c r="L80" i="28"/>
  <c r="L97" i="28"/>
  <c r="K26" i="29"/>
  <c r="AE23" i="29"/>
  <c r="O18" i="29"/>
  <c r="G18" i="29"/>
  <c r="J90" i="28"/>
  <c r="J107" i="28"/>
  <c r="I85" i="28"/>
  <c r="I102" i="28"/>
  <c r="D84" i="28"/>
  <c r="D101" i="28"/>
  <c r="G83" i="28"/>
  <c r="G100" i="28"/>
  <c r="J82" i="28"/>
  <c r="J99" i="28"/>
  <c r="G78" i="28"/>
  <c r="G95" i="28"/>
  <c r="I77" i="28"/>
  <c r="I94" i="28"/>
  <c r="Q27" i="29"/>
  <c r="M21" i="29"/>
  <c r="W17" i="29"/>
  <c r="G17" i="29"/>
  <c r="F80" i="28"/>
  <c r="F97" i="28"/>
  <c r="AA26" i="29"/>
  <c r="K25" i="29"/>
  <c r="Y22" i="29"/>
  <c r="D89" i="28"/>
  <c r="D106" i="28"/>
  <c r="G89" i="28"/>
  <c r="G106" i="28"/>
  <c r="F87" i="28"/>
  <c r="F104" i="28"/>
  <c r="I86" i="28"/>
  <c r="I103" i="28"/>
  <c r="G84" i="28"/>
  <c r="G101" i="28"/>
  <c r="J83" i="28"/>
  <c r="J100" i="28"/>
  <c r="D82" i="28"/>
  <c r="D99" i="28"/>
  <c r="D81" i="28"/>
  <c r="D98" i="28"/>
  <c r="L79" i="28"/>
  <c r="L96" i="28"/>
  <c r="I78" i="28"/>
  <c r="I95" i="28"/>
  <c r="X28" i="29"/>
  <c r="H28" i="29"/>
  <c r="AC27" i="29"/>
  <c r="O27" i="29"/>
  <c r="AJ26" i="29"/>
  <c r="D26" i="29"/>
  <c r="X25" i="29"/>
  <c r="AF22" i="29"/>
  <c r="X22" i="29"/>
  <c r="P22" i="29"/>
  <c r="H22" i="29"/>
  <c r="H21" i="29"/>
  <c r="AF19" i="29"/>
  <c r="AF18" i="29"/>
  <c r="L18" i="29"/>
  <c r="AK17" i="29"/>
  <c r="U17" i="29"/>
  <c r="F88" i="28"/>
  <c r="F105" i="28"/>
  <c r="Q22" i="29"/>
  <c r="AM25" i="29"/>
  <c r="AG23" i="29"/>
  <c r="AE22" i="29"/>
  <c r="O22" i="29"/>
  <c r="G21" i="29"/>
  <c r="AI23" i="29"/>
  <c r="AG22" i="29"/>
  <c r="I22" i="29"/>
  <c r="AI26" i="29"/>
  <c r="W25" i="29"/>
  <c r="AM22" i="29"/>
  <c r="W22" i="29"/>
  <c r="G22" i="29"/>
  <c r="AE18" i="29"/>
  <c r="G90" i="28"/>
  <c r="G107" i="28"/>
  <c r="I89" i="28"/>
  <c r="I106" i="28"/>
  <c r="D88" i="28"/>
  <c r="D105" i="28"/>
  <c r="D87" i="28"/>
  <c r="D104" i="28"/>
  <c r="J86" i="28"/>
  <c r="J103" i="28"/>
  <c r="L85" i="28"/>
  <c r="L102" i="28"/>
  <c r="G82" i="28"/>
  <c r="G99" i="28"/>
  <c r="I81" i="28"/>
  <c r="I98" i="28"/>
  <c r="D79" i="28"/>
  <c r="D96" i="28"/>
  <c r="J78" i="28"/>
  <c r="J95" i="28"/>
  <c r="M27" i="29"/>
  <c r="AF23" i="29"/>
  <c r="P23" i="29"/>
  <c r="H18" i="29"/>
  <c r="AF17" i="29"/>
  <c r="P17" i="29"/>
  <c r="F90" i="28"/>
  <c r="F107" i="28"/>
  <c r="F82" i="28"/>
  <c r="F99" i="28"/>
  <c r="G88" i="28"/>
  <c r="G105" i="28"/>
  <c r="J87" i="28"/>
  <c r="J104" i="28"/>
  <c r="D85" i="28"/>
  <c r="D102" i="28"/>
  <c r="G85" i="28"/>
  <c r="G102" i="28"/>
  <c r="I82" i="28"/>
  <c r="I99" i="28"/>
  <c r="H80" i="28"/>
  <c r="H97" i="28"/>
  <c r="D78" i="28"/>
  <c r="D77" i="28"/>
  <c r="D94" i="28"/>
  <c r="G77" i="28"/>
  <c r="G94" i="28"/>
  <c r="P28" i="29"/>
  <c r="AI27" i="29"/>
  <c r="S27" i="29"/>
  <c r="T26" i="29"/>
  <c r="AJ22" i="29"/>
  <c r="AB22" i="29"/>
  <c r="T22" i="29"/>
  <c r="L22" i="29"/>
  <c r="D22" i="29"/>
  <c r="O21" i="29"/>
  <c r="AB18" i="29"/>
  <c r="F18" i="29"/>
  <c r="K47" i="34"/>
  <c r="K37" i="34"/>
  <c r="I116" i="28"/>
  <c r="J115" i="28"/>
  <c r="L82" i="28"/>
  <c r="L99" i="28"/>
  <c r="G81" i="28"/>
  <c r="G98" i="28"/>
  <c r="AM28" i="29"/>
  <c r="AE28" i="29"/>
  <c r="W28" i="29"/>
  <c r="O28" i="29"/>
  <c r="G28" i="29"/>
  <c r="Y27" i="29"/>
  <c r="G27" i="29"/>
  <c r="AC25" i="29"/>
  <c r="S25" i="29"/>
  <c r="AK24" i="29"/>
  <c r="AC24" i="29"/>
  <c r="U24" i="29"/>
  <c r="M24" i="29"/>
  <c r="E24" i="29"/>
  <c r="W23" i="29"/>
  <c r="E23" i="29"/>
  <c r="AM20" i="29"/>
  <c r="AE20" i="29"/>
  <c r="W20" i="29"/>
  <c r="O20" i="29"/>
  <c r="G20" i="29"/>
  <c r="AG19" i="29"/>
  <c r="W19" i="29"/>
  <c r="M19" i="29"/>
  <c r="AE17" i="29"/>
  <c r="E17" i="29"/>
  <c r="H86" i="28"/>
  <c r="H103" i="28"/>
  <c r="F85" i="28"/>
  <c r="F102" i="28"/>
  <c r="H82" i="28"/>
  <c r="H99" i="28"/>
  <c r="H78" i="28"/>
  <c r="H95" i="28"/>
  <c r="AG27" i="29"/>
  <c r="AG26" i="29"/>
  <c r="AA25" i="29"/>
  <c r="L78" i="28"/>
  <c r="L95" i="28"/>
  <c r="L89" i="28"/>
  <c r="L106" i="28"/>
  <c r="K89" i="28"/>
  <c r="K106" i="28"/>
  <c r="J88" i="28"/>
  <c r="J105" i="28"/>
  <c r="I88" i="28"/>
  <c r="I105" i="28"/>
  <c r="K87" i="28"/>
  <c r="K104" i="28"/>
  <c r="G86" i="28"/>
  <c r="G103" i="28"/>
  <c r="J85" i="28"/>
  <c r="J102" i="28"/>
  <c r="K85" i="28"/>
  <c r="K102" i="28"/>
  <c r="I83" i="28"/>
  <c r="I100" i="28"/>
  <c r="L81" i="28"/>
  <c r="L98" i="28"/>
  <c r="K81" i="28"/>
  <c r="K98" i="28"/>
  <c r="J80" i="28"/>
  <c r="J97" i="28"/>
  <c r="I80" i="28"/>
  <c r="I97" i="28"/>
  <c r="J77" i="28"/>
  <c r="AK28" i="29"/>
  <c r="AC28" i="29"/>
  <c r="U28" i="29"/>
  <c r="M28" i="29"/>
  <c r="E28" i="29"/>
  <c r="W27" i="29"/>
  <c r="E27" i="29"/>
  <c r="AI25" i="29"/>
  <c r="Q25" i="29"/>
  <c r="AI24" i="29"/>
  <c r="AA24" i="29"/>
  <c r="S24" i="29"/>
  <c r="K24" i="29"/>
  <c r="AM23" i="29"/>
  <c r="U23" i="29"/>
  <c r="K23" i="29"/>
  <c r="AK20" i="29"/>
  <c r="AC20" i="29"/>
  <c r="U20" i="29"/>
  <c r="M20" i="29"/>
  <c r="E20" i="29"/>
  <c r="AE19" i="29"/>
  <c r="U19" i="29"/>
  <c r="I19" i="29"/>
  <c r="AC17" i="29"/>
  <c r="O17" i="29"/>
  <c r="H90" i="28"/>
  <c r="H107" i="28"/>
  <c r="K80" i="28"/>
  <c r="K97" i="28"/>
  <c r="F77" i="28"/>
  <c r="Y26" i="29"/>
  <c r="L90" i="28"/>
  <c r="L107" i="28"/>
  <c r="AM26" i="29"/>
  <c r="W26" i="29"/>
  <c r="G25" i="29"/>
  <c r="S23" i="29"/>
  <c r="AE21" i="29"/>
  <c r="I21" i="29"/>
  <c r="AI18" i="29"/>
  <c r="AA18" i="29"/>
  <c r="S18" i="29"/>
  <c r="K18" i="29"/>
  <c r="AM17" i="29"/>
  <c r="K88" i="28"/>
  <c r="K105" i="28"/>
  <c r="K84" i="28"/>
  <c r="K101" i="28"/>
  <c r="K77" i="28"/>
  <c r="Q26" i="29"/>
  <c r="I26" i="29"/>
  <c r="I25" i="29"/>
  <c r="AG21" i="29"/>
  <c r="L84" i="28"/>
  <c r="L101" i="28"/>
  <c r="AE27" i="29"/>
  <c r="AE26" i="29"/>
  <c r="O26" i="29"/>
  <c r="G26" i="29"/>
  <c r="Y25" i="29"/>
  <c r="AI28" i="29"/>
  <c r="AA28" i="29"/>
  <c r="S28" i="29"/>
  <c r="K28" i="29"/>
  <c r="AM27" i="29"/>
  <c r="K27" i="29"/>
  <c r="AG25" i="29"/>
  <c r="O25" i="29"/>
  <c r="AG24" i="29"/>
  <c r="Y24" i="29"/>
  <c r="Q24" i="29"/>
  <c r="I24" i="29"/>
  <c r="AK23" i="29"/>
  <c r="AA23" i="29"/>
  <c r="I23" i="29"/>
  <c r="AI20" i="29"/>
  <c r="AA20" i="29"/>
  <c r="S20" i="29"/>
  <c r="K20" i="29"/>
  <c r="AM19" i="29"/>
  <c r="Q19" i="29"/>
  <c r="G19" i="29"/>
  <c r="M17" i="29"/>
  <c r="Q18" i="29"/>
  <c r="Q23" i="29"/>
  <c r="Q21" i="29"/>
  <c r="AG18" i="29"/>
  <c r="Y18" i="29"/>
  <c r="I18" i="29"/>
  <c r="J89" i="28"/>
  <c r="J106" i="28"/>
  <c r="I87" i="28"/>
  <c r="I104" i="28"/>
  <c r="J84" i="28"/>
  <c r="J101" i="28"/>
  <c r="D83" i="28"/>
  <c r="D100" i="28"/>
  <c r="J81" i="28"/>
  <c r="J98" i="28"/>
  <c r="I79" i="28"/>
  <c r="AG28" i="29"/>
  <c r="Y28" i="29"/>
  <c r="Q28" i="29"/>
  <c r="I28" i="29"/>
  <c r="AK27" i="29"/>
  <c r="AA27" i="29"/>
  <c r="I27" i="29"/>
  <c r="AE25" i="29"/>
  <c r="O24" i="29"/>
  <c r="G24" i="29"/>
  <c r="Y23" i="29"/>
  <c r="AG20" i="29"/>
  <c r="Y20" i="29"/>
  <c r="Q20" i="29"/>
  <c r="I20" i="29"/>
  <c r="Y19" i="29"/>
  <c r="C13" i="33"/>
  <c r="E13" i="33"/>
  <c r="D39" i="34"/>
  <c r="E24" i="32"/>
  <c r="E21" i="32"/>
  <c r="E16" i="32"/>
  <c r="E13" i="32"/>
  <c r="E8" i="32"/>
  <c r="E5" i="32"/>
  <c r="F23" i="32"/>
  <c r="F15" i="32"/>
  <c r="F7" i="32"/>
  <c r="E26" i="32"/>
  <c r="E23" i="32"/>
  <c r="E18" i="32"/>
  <c r="E15" i="32"/>
  <c r="E10" i="32"/>
  <c r="E7" i="32"/>
  <c r="E2" i="32"/>
  <c r="F25" i="32"/>
  <c r="F17" i="32"/>
  <c r="F9" i="32"/>
  <c r="E25" i="32"/>
  <c r="E20" i="32"/>
  <c r="E17" i="32"/>
  <c r="E12" i="32"/>
  <c r="E9" i="32"/>
  <c r="E4" i="32"/>
  <c r="F27" i="32"/>
  <c r="F19" i="32"/>
  <c r="F11" i="32"/>
  <c r="F3" i="32"/>
  <c r="E27" i="32"/>
  <c r="E22" i="32"/>
  <c r="E19" i="32"/>
  <c r="E14" i="32"/>
  <c r="E11" i="32"/>
  <c r="E6" i="32"/>
  <c r="F21" i="32"/>
  <c r="F13" i="32"/>
  <c r="K10" i="33"/>
  <c r="K16" i="33"/>
  <c r="J2" i="33"/>
  <c r="F26" i="32"/>
  <c r="F24" i="32"/>
  <c r="F22" i="32"/>
  <c r="F20" i="32"/>
  <c r="F18" i="32"/>
  <c r="F16" i="32"/>
  <c r="F14" i="32"/>
  <c r="F12" i="32"/>
  <c r="F10" i="32"/>
  <c r="F8" i="32"/>
  <c r="F6" i="32"/>
  <c r="F4" i="32"/>
  <c r="F2" i="32"/>
  <c r="AJ27" i="29"/>
  <c r="AB27" i="29"/>
  <c r="T27" i="29"/>
  <c r="L27" i="29"/>
  <c r="D27" i="29"/>
  <c r="AJ25" i="29"/>
  <c r="AB25" i="29"/>
  <c r="T25" i="29"/>
  <c r="L25" i="29"/>
  <c r="D25" i="29"/>
  <c r="AJ23" i="29"/>
  <c r="AB23" i="29"/>
  <c r="T23" i="29"/>
  <c r="L23" i="29"/>
  <c r="D23" i="29"/>
  <c r="AJ21" i="29"/>
  <c r="AB21" i="29"/>
  <c r="T21" i="29"/>
  <c r="L21" i="29"/>
  <c r="D21" i="29"/>
  <c r="AJ19" i="29"/>
  <c r="AB19" i="29"/>
  <c r="T19" i="29"/>
  <c r="L19" i="29"/>
  <c r="D19" i="29"/>
  <c r="AI21" i="29"/>
  <c r="AA21" i="29"/>
  <c r="S21" i="29"/>
  <c r="K21" i="29"/>
  <c r="AI19" i="29"/>
  <c r="AA19" i="29"/>
  <c r="S19" i="29"/>
  <c r="K19" i="29"/>
  <c r="K94" i="28"/>
  <c r="F121" i="28"/>
  <c r="F123" i="28"/>
  <c r="F124" i="28"/>
  <c r="F94" i="28"/>
  <c r="J114" i="28"/>
  <c r="M96" i="28"/>
  <c r="J94" i="28"/>
  <c r="E121" i="28"/>
  <c r="E123" i="28"/>
  <c r="E124" i="28"/>
  <c r="E96" i="28"/>
  <c r="I96" i="28"/>
  <c r="N106" i="28"/>
  <c r="C121" i="28"/>
  <c r="C123" i="28"/>
  <c r="C124" i="28"/>
  <c r="K82" i="28"/>
  <c r="K99" i="28"/>
  <c r="N99" i="28"/>
  <c r="K83" i="28"/>
  <c r="K100" i="28"/>
  <c r="N100" i="28"/>
  <c r="H121" i="28"/>
  <c r="H123" i="28"/>
  <c r="H124" i="28"/>
  <c r="D95" i="28"/>
  <c r="C94" i="28"/>
  <c r="M88" i="28"/>
  <c r="M105" i="28"/>
  <c r="N105" i="28"/>
  <c r="M80" i="28"/>
  <c r="M97" i="28"/>
  <c r="N97" i="28"/>
  <c r="K114" i="28"/>
  <c r="K90" i="28"/>
  <c r="K107" i="28"/>
  <c r="N107" i="28"/>
  <c r="K86" i="28"/>
  <c r="K103" i="28"/>
  <c r="G79" i="28"/>
  <c r="M87" i="28"/>
  <c r="M104" i="28"/>
  <c r="I84" i="28"/>
  <c r="I101" i="28"/>
  <c r="G87" i="28"/>
  <c r="G104" i="28"/>
  <c r="K78" i="28"/>
  <c r="K95" i="28"/>
  <c r="L77" i="28"/>
  <c r="K79" i="28"/>
  <c r="K96" i="28"/>
  <c r="I6" i="25"/>
  <c r="J6" i="25"/>
  <c r="B10" i="25"/>
  <c r="J10" i="25"/>
  <c r="J16" i="25"/>
  <c r="J44" i="25"/>
  <c r="B11" i="25"/>
  <c r="D11" i="25"/>
  <c r="B12" i="25"/>
  <c r="D12" i="25"/>
  <c r="B13" i="25"/>
  <c r="D13" i="25"/>
  <c r="B14" i="25"/>
  <c r="D14" i="25"/>
  <c r="B15" i="25"/>
  <c r="D15" i="25"/>
  <c r="B16" i="25"/>
  <c r="D16" i="25"/>
  <c r="B17" i="25"/>
  <c r="D17" i="25"/>
  <c r="B18" i="25"/>
  <c r="D18" i="25"/>
  <c r="B19" i="25"/>
  <c r="D19" i="25"/>
  <c r="B20" i="25"/>
  <c r="D20" i="25"/>
  <c r="B21" i="25"/>
  <c r="B22" i="25"/>
  <c r="B23" i="25"/>
  <c r="D23" i="25"/>
  <c r="B24" i="25"/>
  <c r="D24" i="25"/>
  <c r="B25" i="25"/>
  <c r="D25" i="25"/>
  <c r="B26" i="25"/>
  <c r="D26" i="25"/>
  <c r="B27" i="25"/>
  <c r="D27" i="25"/>
  <c r="B28" i="25"/>
  <c r="D28" i="25"/>
  <c r="B29" i="25"/>
  <c r="D29" i="25"/>
  <c r="B30" i="25"/>
  <c r="D30" i="25"/>
  <c r="B31" i="25"/>
  <c r="D31" i="25"/>
  <c r="B32" i="25"/>
  <c r="D32" i="25"/>
  <c r="B33" i="25"/>
  <c r="D33" i="25"/>
  <c r="B34" i="25"/>
  <c r="D34" i="25"/>
  <c r="B35" i="25"/>
  <c r="D35" i="25"/>
  <c r="B36" i="25"/>
  <c r="D36" i="25"/>
  <c r="B37" i="25"/>
  <c r="D37" i="25"/>
  <c r="B38" i="25"/>
  <c r="D38" i="25"/>
  <c r="B39" i="25"/>
  <c r="D39" i="25"/>
  <c r="B40" i="25"/>
  <c r="D40" i="25"/>
  <c r="B41" i="25"/>
  <c r="D41" i="25"/>
  <c r="AL41" i="25"/>
  <c r="B42" i="25"/>
  <c r="D42" i="25"/>
  <c r="AL42" i="25"/>
  <c r="B43" i="25"/>
  <c r="D43" i="25"/>
  <c r="AL43" i="25"/>
  <c r="B44" i="25"/>
  <c r="D44" i="25"/>
  <c r="H44" i="25"/>
  <c r="I44" i="25"/>
  <c r="AL44" i="25"/>
  <c r="B45" i="25"/>
  <c r="D45" i="25"/>
  <c r="H45" i="25"/>
  <c r="I45" i="25"/>
  <c r="AL45" i="25"/>
  <c r="B46" i="25"/>
  <c r="D46" i="25"/>
  <c r="H46" i="25"/>
  <c r="I46" i="25"/>
  <c r="AL46" i="25"/>
  <c r="B47" i="25"/>
  <c r="D47" i="25"/>
  <c r="I47" i="25"/>
  <c r="AL47" i="25"/>
  <c r="B48" i="25"/>
  <c r="D48" i="25"/>
  <c r="H48" i="25"/>
  <c r="I48" i="25"/>
  <c r="J48" i="25"/>
  <c r="AL48" i="25"/>
  <c r="B49" i="25"/>
  <c r="D49" i="25"/>
  <c r="AL49" i="25"/>
  <c r="B50" i="25"/>
  <c r="D50" i="25"/>
  <c r="AL50" i="25"/>
  <c r="B51" i="25"/>
  <c r="D51" i="25"/>
  <c r="AL51" i="25"/>
  <c r="B52" i="25"/>
  <c r="D52" i="25"/>
  <c r="AL52" i="25"/>
  <c r="B53" i="25"/>
  <c r="D53" i="25"/>
  <c r="D54" i="25"/>
  <c r="F54" i="25"/>
  <c r="D55" i="25"/>
  <c r="F55" i="25"/>
  <c r="AL73" i="25"/>
  <c r="AL74" i="25"/>
  <c r="AL75" i="25"/>
  <c r="AL76" i="25"/>
  <c r="AL77" i="25"/>
  <c r="AL78" i="25"/>
  <c r="AL79" i="25"/>
  <c r="AL80" i="25"/>
  <c r="AL81" i="25"/>
  <c r="AL82" i="25"/>
  <c r="AL83" i="25"/>
  <c r="AL84" i="25"/>
  <c r="AA2" i="24"/>
  <c r="AA3" i="24"/>
  <c r="B4" i="24"/>
  <c r="C4" i="24"/>
  <c r="B5" i="24"/>
  <c r="C5" i="24"/>
  <c r="B6" i="24"/>
  <c r="C6" i="24"/>
  <c r="B7" i="24"/>
  <c r="C7" i="24"/>
  <c r="B8" i="24"/>
  <c r="C8" i="24"/>
  <c r="B9" i="24"/>
  <c r="C9" i="24"/>
  <c r="B10" i="24"/>
  <c r="C10" i="24"/>
  <c r="B11" i="24"/>
  <c r="C11" i="24"/>
  <c r="B12" i="24"/>
  <c r="C12" i="24"/>
  <c r="B13" i="24"/>
  <c r="C13" i="24"/>
  <c r="B14" i="24"/>
  <c r="C14" i="24"/>
  <c r="B15" i="24"/>
  <c r="C15" i="24"/>
  <c r="B16" i="24"/>
  <c r="C16" i="24"/>
  <c r="B17" i="24"/>
  <c r="C17" i="24"/>
  <c r="B18" i="24"/>
  <c r="C18" i="24"/>
  <c r="B19" i="24"/>
  <c r="C19" i="24"/>
  <c r="B20" i="24"/>
  <c r="C20" i="24"/>
  <c r="B21" i="24"/>
  <c r="C21" i="24"/>
  <c r="B22" i="24"/>
  <c r="C22" i="24"/>
  <c r="B23" i="24"/>
  <c r="C23" i="24"/>
  <c r="B24" i="24"/>
  <c r="C24" i="24"/>
  <c r="B25" i="24"/>
  <c r="C25" i="24"/>
  <c r="B26" i="24"/>
  <c r="C26" i="24"/>
  <c r="B27" i="24"/>
  <c r="C27" i="24"/>
  <c r="B28" i="24"/>
  <c r="C28" i="24"/>
  <c r="B29" i="24"/>
  <c r="C29" i="24"/>
  <c r="B30" i="24"/>
  <c r="C30" i="24"/>
  <c r="B31" i="24"/>
  <c r="C31" i="24"/>
  <c r="B32" i="24"/>
  <c r="C32" i="24"/>
  <c r="B33" i="24"/>
  <c r="C33" i="24"/>
  <c r="B34" i="24"/>
  <c r="C34" i="24"/>
  <c r="B35" i="24"/>
  <c r="C35" i="24"/>
  <c r="B36" i="24"/>
  <c r="C36" i="24"/>
  <c r="B37" i="24"/>
  <c r="C37" i="24"/>
  <c r="B38" i="24"/>
  <c r="C38" i="24"/>
  <c r="B39" i="24"/>
  <c r="C39" i="24"/>
  <c r="B40" i="24"/>
  <c r="C40" i="24"/>
  <c r="B41" i="24"/>
  <c r="C41" i="24"/>
  <c r="B42" i="24"/>
  <c r="C42" i="24"/>
  <c r="B43" i="24"/>
  <c r="C43" i="24"/>
  <c r="B44" i="24"/>
  <c r="C44" i="24"/>
  <c r="B45" i="24"/>
  <c r="C45" i="24"/>
  <c r="B46" i="24"/>
  <c r="C46" i="24"/>
  <c r="B47" i="24"/>
  <c r="C47" i="24"/>
  <c r="C51" i="24"/>
  <c r="E47" i="25"/>
  <c r="F51" i="24"/>
  <c r="G51" i="24"/>
  <c r="H51" i="24"/>
  <c r="I51" i="24"/>
  <c r="J51" i="24"/>
  <c r="K51" i="24"/>
  <c r="L51" i="24"/>
  <c r="M51" i="24"/>
  <c r="N51" i="24"/>
  <c r="O51" i="24"/>
  <c r="P51" i="24"/>
  <c r="Q51" i="24"/>
  <c r="R51" i="24"/>
  <c r="S51" i="24"/>
  <c r="T51" i="24"/>
  <c r="U51" i="24"/>
  <c r="V51" i="24"/>
  <c r="W51" i="24"/>
  <c r="X51" i="24"/>
  <c r="Y51" i="24"/>
  <c r="C52" i="24"/>
  <c r="E53" i="25"/>
  <c r="F52" i="24"/>
  <c r="G52" i="24"/>
  <c r="H52" i="24"/>
  <c r="I52" i="24"/>
  <c r="J52" i="24"/>
  <c r="K52" i="24"/>
  <c r="L52" i="24"/>
  <c r="M52" i="24"/>
  <c r="N52" i="24"/>
  <c r="O52" i="24"/>
  <c r="P52" i="24"/>
  <c r="Q52" i="24"/>
  <c r="R52" i="24"/>
  <c r="S52" i="24"/>
  <c r="T52" i="24"/>
  <c r="U52" i="24"/>
  <c r="V52" i="24"/>
  <c r="W52" i="24"/>
  <c r="X52" i="24"/>
  <c r="Y52" i="24"/>
  <c r="C53" i="24"/>
  <c r="E51" i="25"/>
  <c r="F53" i="24"/>
  <c r="G53" i="24"/>
  <c r="H53" i="24"/>
  <c r="I53" i="24"/>
  <c r="J53" i="24"/>
  <c r="K53" i="24"/>
  <c r="L53" i="24"/>
  <c r="M53" i="24"/>
  <c r="N53" i="24"/>
  <c r="O53" i="24"/>
  <c r="P53" i="24"/>
  <c r="Q53" i="24"/>
  <c r="R53" i="24"/>
  <c r="S53" i="24"/>
  <c r="T53" i="24"/>
  <c r="U53" i="24"/>
  <c r="V53" i="24"/>
  <c r="W53" i="24"/>
  <c r="X53" i="24"/>
  <c r="Y53" i="24"/>
  <c r="C54" i="24"/>
  <c r="E28" i="25"/>
  <c r="F54" i="24"/>
  <c r="G54" i="24"/>
  <c r="H54" i="24"/>
  <c r="I54" i="24"/>
  <c r="J54" i="24"/>
  <c r="K54" i="24"/>
  <c r="L54" i="24"/>
  <c r="M54" i="24"/>
  <c r="N54" i="24"/>
  <c r="O54" i="24"/>
  <c r="P54" i="24"/>
  <c r="Q54" i="24"/>
  <c r="R54" i="24"/>
  <c r="S54" i="24"/>
  <c r="T54" i="24"/>
  <c r="U54" i="24"/>
  <c r="V54" i="24"/>
  <c r="W54" i="24"/>
  <c r="X54" i="24"/>
  <c r="Y54" i="24"/>
  <c r="C55" i="24"/>
  <c r="E33" i="25"/>
  <c r="F55" i="24"/>
  <c r="G55" i="24"/>
  <c r="H55" i="24"/>
  <c r="I55" i="24"/>
  <c r="J55" i="24"/>
  <c r="K55" i="24"/>
  <c r="L55" i="24"/>
  <c r="M55" i="24"/>
  <c r="N55" i="24"/>
  <c r="O55" i="24"/>
  <c r="P55" i="24"/>
  <c r="Q55" i="24"/>
  <c r="R55" i="24"/>
  <c r="S55" i="24"/>
  <c r="T55" i="24"/>
  <c r="U55" i="24"/>
  <c r="V55" i="24"/>
  <c r="W55" i="24"/>
  <c r="X55" i="24"/>
  <c r="Y55" i="24"/>
  <c r="C56" i="24"/>
  <c r="E10" i="25"/>
  <c r="F56" i="24"/>
  <c r="G56" i="24"/>
  <c r="H56" i="24"/>
  <c r="I56" i="24"/>
  <c r="J56" i="24"/>
  <c r="K56" i="24"/>
  <c r="L56" i="24"/>
  <c r="M56" i="24"/>
  <c r="N56" i="24"/>
  <c r="O56" i="24"/>
  <c r="P56" i="24"/>
  <c r="Q56" i="24"/>
  <c r="R56" i="24"/>
  <c r="S56" i="24"/>
  <c r="T56" i="24"/>
  <c r="U56" i="24"/>
  <c r="V56" i="24"/>
  <c r="W56" i="24"/>
  <c r="X56" i="24"/>
  <c r="Y56" i="24"/>
  <c r="C57" i="24"/>
  <c r="E49" i="25"/>
  <c r="F57" i="24"/>
  <c r="G57" i="24"/>
  <c r="H57" i="24"/>
  <c r="I57" i="24"/>
  <c r="J57" i="24"/>
  <c r="K57" i="24"/>
  <c r="L57" i="24"/>
  <c r="M57" i="24"/>
  <c r="N57" i="24"/>
  <c r="O57" i="24"/>
  <c r="P57" i="24"/>
  <c r="Q57" i="24"/>
  <c r="R57" i="24"/>
  <c r="S57" i="24"/>
  <c r="T57" i="24"/>
  <c r="U57" i="24"/>
  <c r="V57" i="24"/>
  <c r="W57" i="24"/>
  <c r="X57" i="24"/>
  <c r="Y57" i="24"/>
  <c r="C58" i="24"/>
  <c r="E11" i="25"/>
  <c r="F58" i="24"/>
  <c r="G58" i="24"/>
  <c r="H58" i="24"/>
  <c r="I58" i="24"/>
  <c r="J58" i="24"/>
  <c r="K58" i="24"/>
  <c r="L58" i="24"/>
  <c r="M58" i="24"/>
  <c r="N58" i="24"/>
  <c r="O58" i="24"/>
  <c r="P58" i="24"/>
  <c r="Q58" i="24"/>
  <c r="R58" i="24"/>
  <c r="S58" i="24"/>
  <c r="T58" i="24"/>
  <c r="U58" i="24"/>
  <c r="V58" i="24"/>
  <c r="W58" i="24"/>
  <c r="X58" i="24"/>
  <c r="Y58" i="24"/>
  <c r="C59" i="24"/>
  <c r="E12" i="25"/>
  <c r="F59" i="24"/>
  <c r="G59" i="24"/>
  <c r="H59" i="24"/>
  <c r="I59" i="24"/>
  <c r="J59" i="24"/>
  <c r="K59" i="24"/>
  <c r="L59" i="24"/>
  <c r="M59" i="24"/>
  <c r="N59" i="24"/>
  <c r="O59" i="24"/>
  <c r="P59" i="24"/>
  <c r="Q59" i="24"/>
  <c r="R59" i="24"/>
  <c r="S59" i="24"/>
  <c r="T59" i="24"/>
  <c r="U59" i="24"/>
  <c r="V59" i="24"/>
  <c r="W59" i="24"/>
  <c r="X59" i="24"/>
  <c r="Y59" i="24"/>
  <c r="C60" i="24"/>
  <c r="E31" i="25"/>
  <c r="F60" i="24"/>
  <c r="G60" i="24"/>
  <c r="H60" i="24"/>
  <c r="I60" i="24"/>
  <c r="J60" i="24"/>
  <c r="K60" i="24"/>
  <c r="L60" i="24"/>
  <c r="M60" i="24"/>
  <c r="N60" i="24"/>
  <c r="O60" i="24"/>
  <c r="P60" i="24"/>
  <c r="Q60" i="24"/>
  <c r="R60" i="24"/>
  <c r="S60" i="24"/>
  <c r="T60" i="24"/>
  <c r="U60" i="24"/>
  <c r="V60" i="24"/>
  <c r="W60" i="24"/>
  <c r="X60" i="24"/>
  <c r="Y60" i="24"/>
  <c r="C61" i="24"/>
  <c r="E43" i="25"/>
  <c r="F61" i="24"/>
  <c r="G61" i="24"/>
  <c r="H61" i="24"/>
  <c r="I61" i="24"/>
  <c r="J61" i="24"/>
  <c r="K61" i="24"/>
  <c r="L61" i="24"/>
  <c r="M61" i="24"/>
  <c r="N61" i="24"/>
  <c r="O61" i="24"/>
  <c r="P61" i="24"/>
  <c r="Q61" i="24"/>
  <c r="R61" i="24"/>
  <c r="S61" i="24"/>
  <c r="T61" i="24"/>
  <c r="U61" i="24"/>
  <c r="V61" i="24"/>
  <c r="W61" i="24"/>
  <c r="X61" i="24"/>
  <c r="Y61" i="24"/>
  <c r="C62" i="24"/>
  <c r="E38" i="25"/>
  <c r="F62" i="24"/>
  <c r="G62" i="24"/>
  <c r="H62" i="24"/>
  <c r="I62" i="24"/>
  <c r="J62" i="24"/>
  <c r="K62" i="24"/>
  <c r="L62" i="24"/>
  <c r="M62" i="24"/>
  <c r="N62" i="24"/>
  <c r="O62" i="24"/>
  <c r="P62" i="24"/>
  <c r="Q62" i="24"/>
  <c r="R62" i="24"/>
  <c r="S62" i="24"/>
  <c r="T62" i="24"/>
  <c r="U62" i="24"/>
  <c r="V62" i="24"/>
  <c r="W62" i="24"/>
  <c r="X62" i="24"/>
  <c r="Y62" i="24"/>
  <c r="C63" i="24"/>
  <c r="E50" i="25"/>
  <c r="F63" i="24"/>
  <c r="G63" i="24"/>
  <c r="H63" i="24"/>
  <c r="I63" i="24"/>
  <c r="J63" i="24"/>
  <c r="K63" i="24"/>
  <c r="L63" i="24"/>
  <c r="M63" i="24"/>
  <c r="N63" i="24"/>
  <c r="O63" i="24"/>
  <c r="P63" i="24"/>
  <c r="Q63" i="24"/>
  <c r="R63" i="24"/>
  <c r="S63" i="24"/>
  <c r="T63" i="24"/>
  <c r="U63" i="24"/>
  <c r="V63" i="24"/>
  <c r="W63" i="24"/>
  <c r="X63" i="24"/>
  <c r="Y63" i="24"/>
  <c r="C64" i="24"/>
  <c r="E22" i="25"/>
  <c r="F64" i="24"/>
  <c r="G64" i="24"/>
  <c r="H64" i="24"/>
  <c r="I64" i="24"/>
  <c r="J64" i="24"/>
  <c r="K64" i="24"/>
  <c r="L64" i="24"/>
  <c r="M64" i="24"/>
  <c r="N64" i="24"/>
  <c r="O64" i="24"/>
  <c r="P64" i="24"/>
  <c r="Q64" i="24"/>
  <c r="R64" i="24"/>
  <c r="S64" i="24"/>
  <c r="T64" i="24"/>
  <c r="U64" i="24"/>
  <c r="V64" i="24"/>
  <c r="W64" i="24"/>
  <c r="X64" i="24"/>
  <c r="Y64" i="24"/>
  <c r="C65" i="24"/>
  <c r="E30" i="25"/>
  <c r="F65" i="24"/>
  <c r="G65" i="24"/>
  <c r="H65" i="24"/>
  <c r="I65" i="24"/>
  <c r="J65" i="24"/>
  <c r="K65" i="24"/>
  <c r="L65" i="24"/>
  <c r="M65" i="24"/>
  <c r="N65" i="24"/>
  <c r="O65" i="24"/>
  <c r="P65" i="24"/>
  <c r="Q65" i="24"/>
  <c r="R65" i="24"/>
  <c r="S65" i="24"/>
  <c r="T65" i="24"/>
  <c r="U65" i="24"/>
  <c r="V65" i="24"/>
  <c r="W65" i="24"/>
  <c r="X65" i="24"/>
  <c r="Y65" i="24"/>
  <c r="C66" i="24"/>
  <c r="E13" i="25"/>
  <c r="F66" i="24"/>
  <c r="G66" i="24"/>
  <c r="H66" i="24"/>
  <c r="I66" i="24"/>
  <c r="J66" i="24"/>
  <c r="K66" i="24"/>
  <c r="L66" i="24"/>
  <c r="M66" i="24"/>
  <c r="N66" i="24"/>
  <c r="O66" i="24"/>
  <c r="P66" i="24"/>
  <c r="Q66" i="24"/>
  <c r="R66" i="24"/>
  <c r="S66" i="24"/>
  <c r="T66" i="24"/>
  <c r="U66" i="24"/>
  <c r="V66" i="24"/>
  <c r="W66" i="24"/>
  <c r="X66" i="24"/>
  <c r="Y66" i="24"/>
  <c r="C67" i="24"/>
  <c r="F67" i="24"/>
  <c r="G67" i="24"/>
  <c r="H67" i="24"/>
  <c r="I67" i="24"/>
  <c r="J67" i="24"/>
  <c r="K67" i="24"/>
  <c r="L67" i="24"/>
  <c r="M67" i="24"/>
  <c r="N67" i="24"/>
  <c r="O67" i="24"/>
  <c r="P67" i="24"/>
  <c r="Q67" i="24"/>
  <c r="R67" i="24"/>
  <c r="S67" i="24"/>
  <c r="T67" i="24"/>
  <c r="U67" i="24"/>
  <c r="V67" i="24"/>
  <c r="W67" i="24"/>
  <c r="X67" i="24"/>
  <c r="Y67" i="24"/>
  <c r="C68" i="24"/>
  <c r="E46" i="25"/>
  <c r="F68" i="24"/>
  <c r="G68" i="24"/>
  <c r="H68" i="24"/>
  <c r="I68" i="24"/>
  <c r="J68" i="24"/>
  <c r="K68" i="24"/>
  <c r="L68" i="24"/>
  <c r="M68" i="24"/>
  <c r="N68" i="24"/>
  <c r="O68" i="24"/>
  <c r="P68" i="24"/>
  <c r="Q68" i="24"/>
  <c r="R68" i="24"/>
  <c r="S68" i="24"/>
  <c r="T68" i="24"/>
  <c r="U68" i="24"/>
  <c r="V68" i="24"/>
  <c r="W68" i="24"/>
  <c r="X68" i="24"/>
  <c r="Y68" i="24"/>
  <c r="C69" i="24"/>
  <c r="E14" i="25"/>
  <c r="F69" i="24"/>
  <c r="G69" i="24"/>
  <c r="H69" i="24"/>
  <c r="I69" i="24"/>
  <c r="J69" i="24"/>
  <c r="K69" i="24"/>
  <c r="L69" i="24"/>
  <c r="M69" i="24"/>
  <c r="N69" i="24"/>
  <c r="O69" i="24"/>
  <c r="P69" i="24"/>
  <c r="Q69" i="24"/>
  <c r="R69" i="24"/>
  <c r="S69" i="24"/>
  <c r="T69" i="24"/>
  <c r="U69" i="24"/>
  <c r="V69" i="24"/>
  <c r="W69" i="24"/>
  <c r="X69" i="24"/>
  <c r="Y69" i="24"/>
  <c r="C70" i="24"/>
  <c r="E48" i="25"/>
  <c r="F70" i="24"/>
  <c r="G70" i="24"/>
  <c r="H70" i="24"/>
  <c r="I70" i="24"/>
  <c r="J70" i="24"/>
  <c r="K70" i="24"/>
  <c r="L70" i="24"/>
  <c r="M70" i="24"/>
  <c r="N70" i="24"/>
  <c r="O70" i="24"/>
  <c r="P70" i="24"/>
  <c r="Q70" i="24"/>
  <c r="R70" i="24"/>
  <c r="S70" i="24"/>
  <c r="T70" i="24"/>
  <c r="U70" i="24"/>
  <c r="V70" i="24"/>
  <c r="W70" i="24"/>
  <c r="X70" i="24"/>
  <c r="Y70" i="24"/>
  <c r="C71" i="24"/>
  <c r="E15" i="25"/>
  <c r="F71" i="24"/>
  <c r="G71" i="24"/>
  <c r="H71" i="24"/>
  <c r="I71" i="24"/>
  <c r="J71" i="24"/>
  <c r="K71" i="24"/>
  <c r="L71" i="24"/>
  <c r="M71" i="24"/>
  <c r="N71" i="24"/>
  <c r="O71" i="24"/>
  <c r="P71" i="24"/>
  <c r="Q71" i="24"/>
  <c r="R71" i="24"/>
  <c r="S71" i="24"/>
  <c r="T71" i="24"/>
  <c r="U71" i="24"/>
  <c r="V71" i="24"/>
  <c r="W71" i="24"/>
  <c r="X71" i="24"/>
  <c r="Y71" i="24"/>
  <c r="C72" i="24"/>
  <c r="E37" i="25"/>
  <c r="F72" i="24"/>
  <c r="G72" i="24"/>
  <c r="H72" i="24"/>
  <c r="I72" i="24"/>
  <c r="J72" i="24"/>
  <c r="K72" i="24"/>
  <c r="L72" i="24"/>
  <c r="M72" i="24"/>
  <c r="N72" i="24"/>
  <c r="O72" i="24"/>
  <c r="P72" i="24"/>
  <c r="Q72" i="24"/>
  <c r="R72" i="24"/>
  <c r="S72" i="24"/>
  <c r="T72" i="24"/>
  <c r="U72" i="24"/>
  <c r="V72" i="24"/>
  <c r="W72" i="24"/>
  <c r="X72" i="24"/>
  <c r="Y72" i="24"/>
  <c r="C73" i="24"/>
  <c r="E45" i="25"/>
  <c r="F73" i="24"/>
  <c r="G73" i="24"/>
  <c r="H73" i="24"/>
  <c r="I73" i="24"/>
  <c r="J73" i="24"/>
  <c r="K73" i="24"/>
  <c r="L73" i="24"/>
  <c r="M73" i="24"/>
  <c r="N73" i="24"/>
  <c r="O73" i="24"/>
  <c r="P73" i="24"/>
  <c r="Q73" i="24"/>
  <c r="R73" i="24"/>
  <c r="S73" i="24"/>
  <c r="T73" i="24"/>
  <c r="U73" i="24"/>
  <c r="V73" i="24"/>
  <c r="W73" i="24"/>
  <c r="X73" i="24"/>
  <c r="Y73" i="24"/>
  <c r="C74" i="24"/>
  <c r="E52" i="25"/>
  <c r="F74" i="24"/>
  <c r="G74" i="24"/>
  <c r="H74" i="24"/>
  <c r="I74" i="24"/>
  <c r="J74" i="24"/>
  <c r="K74" i="24"/>
  <c r="L74" i="24"/>
  <c r="M74" i="24"/>
  <c r="N74" i="24"/>
  <c r="O74" i="24"/>
  <c r="P74" i="24"/>
  <c r="Q74" i="24"/>
  <c r="R74" i="24"/>
  <c r="S74" i="24"/>
  <c r="T74" i="24"/>
  <c r="U74" i="24"/>
  <c r="V74" i="24"/>
  <c r="W74" i="24"/>
  <c r="X74" i="24"/>
  <c r="Y74" i="24"/>
  <c r="C75" i="24"/>
  <c r="E16" i="25"/>
  <c r="F75" i="24"/>
  <c r="G75" i="24"/>
  <c r="H75" i="24"/>
  <c r="I75" i="24"/>
  <c r="J75" i="24"/>
  <c r="K75" i="24"/>
  <c r="L75" i="24"/>
  <c r="M75" i="24"/>
  <c r="N75" i="24"/>
  <c r="O75" i="24"/>
  <c r="P75" i="24"/>
  <c r="Q75" i="24"/>
  <c r="R75" i="24"/>
  <c r="S75" i="24"/>
  <c r="T75" i="24"/>
  <c r="U75" i="24"/>
  <c r="V75" i="24"/>
  <c r="W75" i="24"/>
  <c r="X75" i="24"/>
  <c r="Y75" i="24"/>
  <c r="C76" i="24"/>
  <c r="E35" i="25"/>
  <c r="F76" i="24"/>
  <c r="G76" i="24"/>
  <c r="H76" i="24"/>
  <c r="I76" i="24"/>
  <c r="J76" i="24"/>
  <c r="K76" i="24"/>
  <c r="L76" i="24"/>
  <c r="M76" i="24"/>
  <c r="N76" i="24"/>
  <c r="O76" i="24"/>
  <c r="P76" i="24"/>
  <c r="Q76" i="24"/>
  <c r="R76" i="24"/>
  <c r="S76" i="24"/>
  <c r="T76" i="24"/>
  <c r="U76" i="24"/>
  <c r="V76" i="24"/>
  <c r="W76" i="24"/>
  <c r="X76" i="24"/>
  <c r="Y76" i="24"/>
  <c r="C77" i="24"/>
  <c r="E32" i="25"/>
  <c r="F77" i="24"/>
  <c r="G77" i="24"/>
  <c r="H77" i="24"/>
  <c r="I77" i="24"/>
  <c r="J77" i="24"/>
  <c r="K77" i="24"/>
  <c r="L77" i="24"/>
  <c r="M77" i="24"/>
  <c r="N77" i="24"/>
  <c r="O77" i="24"/>
  <c r="P77" i="24"/>
  <c r="Q77" i="24"/>
  <c r="R77" i="24"/>
  <c r="S77" i="24"/>
  <c r="T77" i="24"/>
  <c r="U77" i="24"/>
  <c r="V77" i="24"/>
  <c r="W77" i="24"/>
  <c r="X77" i="24"/>
  <c r="Y77" i="24"/>
  <c r="C78" i="24"/>
  <c r="E17" i="25"/>
  <c r="F78" i="24"/>
  <c r="G78" i="24"/>
  <c r="H78" i="24"/>
  <c r="I78" i="24"/>
  <c r="J78" i="24"/>
  <c r="K78" i="24"/>
  <c r="L78" i="24"/>
  <c r="M78" i="24"/>
  <c r="N78" i="24"/>
  <c r="O78" i="24"/>
  <c r="P78" i="24"/>
  <c r="Q78" i="24"/>
  <c r="R78" i="24"/>
  <c r="S78" i="24"/>
  <c r="T78" i="24"/>
  <c r="U78" i="24"/>
  <c r="V78" i="24"/>
  <c r="W78" i="24"/>
  <c r="X78" i="24"/>
  <c r="Y78" i="24"/>
  <c r="C79" i="24"/>
  <c r="E40" i="25"/>
  <c r="F79" i="24"/>
  <c r="G79" i="24"/>
  <c r="H79" i="24"/>
  <c r="I79" i="24"/>
  <c r="J79" i="24"/>
  <c r="K79" i="24"/>
  <c r="L79" i="24"/>
  <c r="M79" i="24"/>
  <c r="N79" i="24"/>
  <c r="O79" i="24"/>
  <c r="P79" i="24"/>
  <c r="Q79" i="24"/>
  <c r="R79" i="24"/>
  <c r="S79" i="24"/>
  <c r="T79" i="24"/>
  <c r="U79" i="24"/>
  <c r="V79" i="24"/>
  <c r="W79" i="24"/>
  <c r="X79" i="24"/>
  <c r="Y79" i="24"/>
  <c r="C80" i="24"/>
  <c r="E34" i="25"/>
  <c r="F80" i="24"/>
  <c r="G80" i="24"/>
  <c r="H80" i="24"/>
  <c r="I80" i="24"/>
  <c r="J80" i="24"/>
  <c r="K80" i="24"/>
  <c r="L80" i="24"/>
  <c r="M80" i="24"/>
  <c r="N80" i="24"/>
  <c r="O80" i="24"/>
  <c r="P80" i="24"/>
  <c r="Q80" i="24"/>
  <c r="R80" i="24"/>
  <c r="S80" i="24"/>
  <c r="T80" i="24"/>
  <c r="U80" i="24"/>
  <c r="V80" i="24"/>
  <c r="W80" i="24"/>
  <c r="X80" i="24"/>
  <c r="Y80" i="24"/>
  <c r="C81" i="24"/>
  <c r="E36" i="25"/>
  <c r="F81" i="24"/>
  <c r="G81" i="24"/>
  <c r="H81" i="24"/>
  <c r="I81" i="24"/>
  <c r="J81" i="24"/>
  <c r="K81" i="24"/>
  <c r="L81" i="24"/>
  <c r="M81" i="24"/>
  <c r="N81" i="24"/>
  <c r="O81" i="24"/>
  <c r="P81" i="24"/>
  <c r="Q81" i="24"/>
  <c r="R81" i="24"/>
  <c r="S81" i="24"/>
  <c r="T81" i="24"/>
  <c r="U81" i="24"/>
  <c r="V81" i="24"/>
  <c r="W81" i="24"/>
  <c r="X81" i="24"/>
  <c r="Y81" i="24"/>
  <c r="C82" i="24"/>
  <c r="E42" i="25"/>
  <c r="F82" i="24"/>
  <c r="G82" i="24"/>
  <c r="H82" i="24"/>
  <c r="I82" i="24"/>
  <c r="J82" i="24"/>
  <c r="K82" i="24"/>
  <c r="L82" i="24"/>
  <c r="M82" i="24"/>
  <c r="N82" i="24"/>
  <c r="O82" i="24"/>
  <c r="P82" i="24"/>
  <c r="Q82" i="24"/>
  <c r="R82" i="24"/>
  <c r="S82" i="24"/>
  <c r="T82" i="24"/>
  <c r="U82" i="24"/>
  <c r="V82" i="24"/>
  <c r="W82" i="24"/>
  <c r="X82" i="24"/>
  <c r="Y82" i="24"/>
  <c r="C83" i="24"/>
  <c r="E27" i="25"/>
  <c r="F83" i="24"/>
  <c r="G83" i="24"/>
  <c r="H83" i="24"/>
  <c r="I83" i="24"/>
  <c r="J83" i="24"/>
  <c r="K83" i="24"/>
  <c r="L83" i="24"/>
  <c r="M83" i="24"/>
  <c r="N83" i="24"/>
  <c r="O83" i="24"/>
  <c r="P83" i="24"/>
  <c r="Q83" i="24"/>
  <c r="R83" i="24"/>
  <c r="S83" i="24"/>
  <c r="T83" i="24"/>
  <c r="U83" i="24"/>
  <c r="V83" i="24"/>
  <c r="W83" i="24"/>
  <c r="X83" i="24"/>
  <c r="Y83" i="24"/>
  <c r="C84" i="24"/>
  <c r="E44" i="25"/>
  <c r="F84" i="24"/>
  <c r="G84" i="24"/>
  <c r="H84" i="24"/>
  <c r="I84" i="24"/>
  <c r="J84" i="24"/>
  <c r="K84" i="24"/>
  <c r="L84" i="24"/>
  <c r="M84" i="24"/>
  <c r="N84" i="24"/>
  <c r="O84" i="24"/>
  <c r="P84" i="24"/>
  <c r="Q84" i="24"/>
  <c r="R84" i="24"/>
  <c r="S84" i="24"/>
  <c r="T84" i="24"/>
  <c r="U84" i="24"/>
  <c r="V84" i="24"/>
  <c r="W84" i="24"/>
  <c r="X84" i="24"/>
  <c r="Y84" i="24"/>
  <c r="C85" i="24"/>
  <c r="E24" i="25"/>
  <c r="F85" i="24"/>
  <c r="G85" i="24"/>
  <c r="H85" i="24"/>
  <c r="I85" i="24"/>
  <c r="J85" i="24"/>
  <c r="K85" i="24"/>
  <c r="L85" i="24"/>
  <c r="M85" i="24"/>
  <c r="N85" i="24"/>
  <c r="O85" i="24"/>
  <c r="P85" i="24"/>
  <c r="Q85" i="24"/>
  <c r="R85" i="24"/>
  <c r="S85" i="24"/>
  <c r="T85" i="24"/>
  <c r="U85" i="24"/>
  <c r="V85" i="24"/>
  <c r="W85" i="24"/>
  <c r="X85" i="24"/>
  <c r="Y85" i="24"/>
  <c r="C86" i="24"/>
  <c r="E23" i="25"/>
  <c r="F86" i="24"/>
  <c r="G86" i="24"/>
  <c r="H86" i="24"/>
  <c r="I86" i="24"/>
  <c r="J86" i="24"/>
  <c r="K86" i="24"/>
  <c r="L86" i="24"/>
  <c r="M86" i="24"/>
  <c r="N86" i="24"/>
  <c r="O86" i="24"/>
  <c r="P86" i="24"/>
  <c r="Q86" i="24"/>
  <c r="R86" i="24"/>
  <c r="S86" i="24"/>
  <c r="T86" i="24"/>
  <c r="U86" i="24"/>
  <c r="V86" i="24"/>
  <c r="W86" i="24"/>
  <c r="X86" i="24"/>
  <c r="Y86" i="24"/>
  <c r="C87" i="24"/>
  <c r="E25" i="25"/>
  <c r="F87" i="24"/>
  <c r="G87" i="24"/>
  <c r="H87" i="24"/>
  <c r="I87" i="24"/>
  <c r="J87" i="24"/>
  <c r="K87" i="24"/>
  <c r="L87" i="24"/>
  <c r="M87" i="24"/>
  <c r="N87" i="24"/>
  <c r="O87" i="24"/>
  <c r="P87" i="24"/>
  <c r="Q87" i="24"/>
  <c r="R87" i="24"/>
  <c r="S87" i="24"/>
  <c r="T87" i="24"/>
  <c r="U87" i="24"/>
  <c r="V87" i="24"/>
  <c r="W87" i="24"/>
  <c r="X87" i="24"/>
  <c r="Y87" i="24"/>
  <c r="C88" i="24"/>
  <c r="E39" i="25"/>
  <c r="F88" i="24"/>
  <c r="G88" i="24"/>
  <c r="H88" i="24"/>
  <c r="I88" i="24"/>
  <c r="J88" i="24"/>
  <c r="K88" i="24"/>
  <c r="L88" i="24"/>
  <c r="M88" i="24"/>
  <c r="N88" i="24"/>
  <c r="O88" i="24"/>
  <c r="P88" i="24"/>
  <c r="Q88" i="24"/>
  <c r="R88" i="24"/>
  <c r="S88" i="24"/>
  <c r="T88" i="24"/>
  <c r="U88" i="24"/>
  <c r="V88" i="24"/>
  <c r="W88" i="24"/>
  <c r="X88" i="24"/>
  <c r="Y88" i="24"/>
  <c r="C89" i="24"/>
  <c r="E41" i="25"/>
  <c r="F89" i="24"/>
  <c r="G89" i="24"/>
  <c r="H89" i="24"/>
  <c r="I89" i="24"/>
  <c r="J89" i="24"/>
  <c r="K89" i="24"/>
  <c r="L89" i="24"/>
  <c r="M89" i="24"/>
  <c r="N89" i="24"/>
  <c r="O89" i="24"/>
  <c r="P89" i="24"/>
  <c r="Q89" i="24"/>
  <c r="R89" i="24"/>
  <c r="S89" i="24"/>
  <c r="T89" i="24"/>
  <c r="U89" i="24"/>
  <c r="V89" i="24"/>
  <c r="W89" i="24"/>
  <c r="X89" i="24"/>
  <c r="Y89" i="24"/>
  <c r="C90" i="24"/>
  <c r="E18" i="25"/>
  <c r="F90" i="24"/>
  <c r="G90" i="24"/>
  <c r="H90" i="24"/>
  <c r="I90" i="24"/>
  <c r="J90" i="24"/>
  <c r="K90" i="24"/>
  <c r="L90" i="24"/>
  <c r="M90" i="24"/>
  <c r="N90" i="24"/>
  <c r="O90" i="24"/>
  <c r="P90" i="24"/>
  <c r="Q90" i="24"/>
  <c r="R90" i="24"/>
  <c r="S90" i="24"/>
  <c r="T90" i="24"/>
  <c r="U90" i="24"/>
  <c r="V90" i="24"/>
  <c r="W90" i="24"/>
  <c r="X90" i="24"/>
  <c r="Y90" i="24"/>
  <c r="C91" i="24"/>
  <c r="E29" i="25"/>
  <c r="F91" i="24"/>
  <c r="G91" i="24"/>
  <c r="H91" i="24"/>
  <c r="I91" i="24"/>
  <c r="J91" i="24"/>
  <c r="K91" i="24"/>
  <c r="L91" i="24"/>
  <c r="M91" i="24"/>
  <c r="N91" i="24"/>
  <c r="O91" i="24"/>
  <c r="P91" i="24"/>
  <c r="Q91" i="24"/>
  <c r="R91" i="24"/>
  <c r="S91" i="24"/>
  <c r="T91" i="24"/>
  <c r="U91" i="24"/>
  <c r="V91" i="24"/>
  <c r="W91" i="24"/>
  <c r="X91" i="24"/>
  <c r="Y91" i="24"/>
  <c r="C92" i="24"/>
  <c r="E19" i="25"/>
  <c r="F92" i="24"/>
  <c r="G92" i="24"/>
  <c r="H92" i="24"/>
  <c r="I92" i="24"/>
  <c r="J92" i="24"/>
  <c r="K92" i="24"/>
  <c r="L92" i="24"/>
  <c r="M92" i="24"/>
  <c r="N92" i="24"/>
  <c r="O92" i="24"/>
  <c r="P92" i="24"/>
  <c r="Q92" i="24"/>
  <c r="R92" i="24"/>
  <c r="S92" i="24"/>
  <c r="T92" i="24"/>
  <c r="U92" i="24"/>
  <c r="V92" i="24"/>
  <c r="W92" i="24"/>
  <c r="X92" i="24"/>
  <c r="Y92" i="24"/>
  <c r="C93" i="24"/>
  <c r="E20" i="25"/>
  <c r="F93" i="24"/>
  <c r="G93" i="24"/>
  <c r="H93" i="24"/>
  <c r="I93" i="24"/>
  <c r="J93" i="24"/>
  <c r="K93" i="24"/>
  <c r="L93" i="24"/>
  <c r="M93" i="24"/>
  <c r="N93" i="24"/>
  <c r="O93" i="24"/>
  <c r="P93" i="24"/>
  <c r="Q93" i="24"/>
  <c r="R93" i="24"/>
  <c r="S93" i="24"/>
  <c r="T93" i="24"/>
  <c r="U93" i="24"/>
  <c r="V93" i="24"/>
  <c r="W93" i="24"/>
  <c r="X93" i="24"/>
  <c r="Y93" i="24"/>
  <c r="C94" i="24"/>
  <c r="E26" i="25"/>
  <c r="F94" i="24"/>
  <c r="G94" i="24"/>
  <c r="H94" i="24"/>
  <c r="I94" i="24"/>
  <c r="J94" i="24"/>
  <c r="K94" i="24"/>
  <c r="L94" i="24"/>
  <c r="M94" i="24"/>
  <c r="N94" i="24"/>
  <c r="O94" i="24"/>
  <c r="P94" i="24"/>
  <c r="Q94" i="24"/>
  <c r="R94" i="24"/>
  <c r="S94" i="24"/>
  <c r="T94" i="24"/>
  <c r="U94" i="24"/>
  <c r="V94" i="24"/>
  <c r="W94" i="24"/>
  <c r="X94" i="24"/>
  <c r="Y94" i="24"/>
  <c r="I315" i="20"/>
  <c r="G315" i="20"/>
  <c r="F315" i="20"/>
  <c r="E315" i="20"/>
  <c r="I314" i="20"/>
  <c r="G314" i="20"/>
  <c r="F314" i="20"/>
  <c r="E314" i="20"/>
  <c r="I313" i="20"/>
  <c r="G313" i="20"/>
  <c r="F313" i="20"/>
  <c r="E313" i="20"/>
  <c r="I312" i="20"/>
  <c r="G312" i="20"/>
  <c r="F312" i="20"/>
  <c r="E312" i="20"/>
  <c r="I311" i="20"/>
  <c r="G311" i="20"/>
  <c r="F311" i="20"/>
  <c r="E311" i="20"/>
  <c r="I310" i="20"/>
  <c r="G310" i="20"/>
  <c r="F310" i="20"/>
  <c r="E310" i="20"/>
  <c r="I309" i="20"/>
  <c r="G309" i="20"/>
  <c r="F309" i="20"/>
  <c r="E309" i="20"/>
  <c r="I308" i="20"/>
  <c r="G308" i="20"/>
  <c r="F308" i="20"/>
  <c r="E308" i="20"/>
  <c r="I307" i="20"/>
  <c r="G307" i="20"/>
  <c r="F307" i="20"/>
  <c r="E307" i="20"/>
  <c r="I306" i="20"/>
  <c r="G306" i="20"/>
  <c r="F306" i="20"/>
  <c r="E306" i="20"/>
  <c r="I305" i="20"/>
  <c r="G305" i="20"/>
  <c r="F305" i="20"/>
  <c r="E305" i="20"/>
  <c r="I304" i="20"/>
  <c r="G304" i="20"/>
  <c r="F304" i="20"/>
  <c r="E304" i="20"/>
  <c r="I303" i="20"/>
  <c r="G303" i="20"/>
  <c r="F303" i="20"/>
  <c r="E303" i="20"/>
  <c r="I302" i="20"/>
  <c r="G302" i="20"/>
  <c r="F302" i="20"/>
  <c r="E302" i="20"/>
  <c r="I301" i="20"/>
  <c r="G301" i="20"/>
  <c r="F301" i="20"/>
  <c r="E301" i="20"/>
  <c r="I300" i="20"/>
  <c r="G300" i="20"/>
  <c r="F300" i="20"/>
  <c r="E300" i="20"/>
  <c r="F267" i="20"/>
  <c r="Q45" i="20"/>
  <c r="M45" i="20"/>
  <c r="D45" i="20"/>
  <c r="F266" i="20"/>
  <c r="Q16" i="20"/>
  <c r="F265" i="20"/>
  <c r="Q44" i="20"/>
  <c r="F262" i="20"/>
  <c r="F260" i="20"/>
  <c r="Q19" i="20"/>
  <c r="F259" i="20"/>
  <c r="Q26" i="20"/>
  <c r="D246" i="20"/>
  <c r="C246" i="20"/>
  <c r="S221" i="20"/>
  <c r="Q221" i="20"/>
  <c r="S220" i="20"/>
  <c r="Q220" i="20"/>
  <c r="S219" i="20"/>
  <c r="Q219" i="20"/>
  <c r="S218" i="20"/>
  <c r="Q218" i="20"/>
  <c r="N43" i="20"/>
  <c r="M43" i="20"/>
  <c r="D43" i="20"/>
  <c r="S217" i="20"/>
  <c r="Q217" i="20"/>
  <c r="N42" i="20"/>
  <c r="S216" i="20"/>
  <c r="Q216" i="20"/>
  <c r="N41" i="20"/>
  <c r="M41" i="20"/>
  <c r="D41" i="20"/>
  <c r="S215" i="20"/>
  <c r="Q215" i="20"/>
  <c r="S214" i="20"/>
  <c r="Q214" i="20"/>
  <c r="S213" i="20"/>
  <c r="Q213" i="20"/>
  <c r="S212" i="20"/>
  <c r="Q212" i="20"/>
  <c r="S211" i="20"/>
  <c r="Q211" i="20"/>
  <c r="S210" i="20"/>
  <c r="Q210" i="20"/>
  <c r="S209" i="20"/>
  <c r="Q209" i="20"/>
  <c r="S208" i="20"/>
  <c r="Q208" i="20"/>
  <c r="S207" i="20"/>
  <c r="Q207" i="20"/>
  <c r="D205" i="20"/>
  <c r="D206" i="20"/>
  <c r="S206" i="20"/>
  <c r="Q206" i="20"/>
  <c r="S205" i="20"/>
  <c r="Q205" i="20"/>
  <c r="S204" i="20"/>
  <c r="Q204" i="20"/>
  <c r="S203" i="20"/>
  <c r="Q203" i="20"/>
  <c r="S202" i="20"/>
  <c r="Q202" i="20"/>
  <c r="I200" i="20"/>
  <c r="G200" i="20"/>
  <c r="S201" i="20"/>
  <c r="Q201" i="20"/>
  <c r="I199" i="20"/>
  <c r="G199" i="20"/>
  <c r="S200" i="20"/>
  <c r="Q200" i="20"/>
  <c r="I198" i="20"/>
  <c r="G198" i="20"/>
  <c r="S199" i="20"/>
  <c r="Q199" i="20"/>
  <c r="I197" i="20"/>
  <c r="G197" i="20"/>
  <c r="S198" i="20"/>
  <c r="Q198" i="20"/>
  <c r="I196" i="20"/>
  <c r="G196" i="20"/>
  <c r="S197" i="20"/>
  <c r="Q197" i="20"/>
  <c r="I195" i="20"/>
  <c r="G195" i="20"/>
  <c r="S196" i="20"/>
  <c r="Q196" i="20"/>
  <c r="I194" i="20"/>
  <c r="G194" i="20"/>
  <c r="S195" i="20"/>
  <c r="Q195" i="20"/>
  <c r="I193" i="20"/>
  <c r="G193" i="20"/>
  <c r="S194" i="20"/>
  <c r="Q194" i="20"/>
  <c r="I192" i="20"/>
  <c r="G192" i="20"/>
  <c r="S193" i="20"/>
  <c r="Q193" i="20"/>
  <c r="I191" i="20"/>
  <c r="G191" i="20"/>
  <c r="S192" i="20"/>
  <c r="Q192" i="20"/>
  <c r="I190" i="20"/>
  <c r="G190" i="20"/>
  <c r="S191" i="20"/>
  <c r="Q191" i="20"/>
  <c r="I189" i="20"/>
  <c r="G189" i="20"/>
  <c r="S190" i="20"/>
  <c r="Q190" i="20"/>
  <c r="I188" i="20"/>
  <c r="G188" i="20"/>
  <c r="S189" i="20"/>
  <c r="Q189" i="20"/>
  <c r="I187" i="20"/>
  <c r="G187" i="20"/>
  <c r="S188" i="20"/>
  <c r="Q188" i="20"/>
  <c r="I186" i="20"/>
  <c r="G186" i="20"/>
  <c r="S187" i="20"/>
  <c r="Q187" i="20"/>
  <c r="I185" i="20"/>
  <c r="G185" i="20"/>
  <c r="S186" i="20"/>
  <c r="Q186" i="20"/>
  <c r="I184" i="20"/>
  <c r="G184" i="20"/>
  <c r="S185" i="20"/>
  <c r="Q185" i="20"/>
  <c r="I183" i="20"/>
  <c r="G183" i="20"/>
  <c r="S184" i="20"/>
  <c r="Q184" i="20"/>
  <c r="I182" i="20"/>
  <c r="G182" i="20"/>
  <c r="S183" i="20"/>
  <c r="Q183" i="20"/>
  <c r="I181" i="20"/>
  <c r="G181" i="20"/>
  <c r="S182" i="20"/>
  <c r="Q182" i="20"/>
  <c r="I180" i="20"/>
  <c r="G180" i="20"/>
  <c r="S181" i="20"/>
  <c r="Q181" i="20"/>
  <c r="I179" i="20"/>
  <c r="G179" i="20"/>
  <c r="S180" i="20"/>
  <c r="Q180" i="20"/>
  <c r="I178" i="20"/>
  <c r="G178" i="20"/>
  <c r="S179" i="20"/>
  <c r="Q179" i="20"/>
  <c r="I177" i="20"/>
  <c r="G177" i="20"/>
  <c r="S178" i="20"/>
  <c r="Q178" i="20"/>
  <c r="I176" i="20"/>
  <c r="G176" i="20"/>
  <c r="S177" i="20"/>
  <c r="Q177" i="20"/>
  <c r="I175" i="20"/>
  <c r="G175" i="20"/>
  <c r="S176" i="20"/>
  <c r="Q176" i="20"/>
  <c r="I174" i="20"/>
  <c r="G174" i="20"/>
  <c r="S175" i="20"/>
  <c r="Q175" i="20"/>
  <c r="I173" i="20"/>
  <c r="G173" i="20"/>
  <c r="S174" i="20"/>
  <c r="Q174" i="20"/>
  <c r="I172" i="20"/>
  <c r="G172" i="20"/>
  <c r="S173" i="20"/>
  <c r="Q173" i="20"/>
  <c r="I171" i="20"/>
  <c r="G171" i="20"/>
  <c r="S172" i="20"/>
  <c r="Q172" i="20"/>
  <c r="I170" i="20"/>
  <c r="G170" i="20"/>
  <c r="S171" i="20"/>
  <c r="Q171" i="20"/>
  <c r="I169" i="20"/>
  <c r="G169" i="20"/>
  <c r="S170" i="20"/>
  <c r="Q170" i="20"/>
  <c r="I168" i="20"/>
  <c r="G168" i="20"/>
  <c r="S169" i="20"/>
  <c r="Q169" i="20"/>
  <c r="I167" i="20"/>
  <c r="G167" i="20"/>
  <c r="S168" i="20"/>
  <c r="Q168" i="20"/>
  <c r="I166" i="20"/>
  <c r="G166" i="20"/>
  <c r="S167" i="20"/>
  <c r="Q167" i="20"/>
  <c r="N34" i="20"/>
  <c r="M34" i="20"/>
  <c r="D34" i="20"/>
  <c r="I165" i="20"/>
  <c r="G165" i="20"/>
  <c r="S166" i="20"/>
  <c r="Q166" i="20"/>
  <c r="I164" i="20"/>
  <c r="G164" i="20"/>
  <c r="S165" i="20"/>
  <c r="Q165" i="20"/>
  <c r="I163" i="20"/>
  <c r="G163" i="20"/>
  <c r="S164" i="20"/>
  <c r="Q164" i="20"/>
  <c r="I162" i="20"/>
  <c r="G162" i="20"/>
  <c r="S163" i="20"/>
  <c r="Q163" i="20"/>
  <c r="I161" i="20"/>
  <c r="G161" i="20"/>
  <c r="S162" i="20"/>
  <c r="Q162" i="20"/>
  <c r="I160" i="20"/>
  <c r="G160" i="20"/>
  <c r="S161" i="20"/>
  <c r="Q161" i="20"/>
  <c r="I159" i="20"/>
  <c r="G159" i="20"/>
  <c r="S160" i="20"/>
  <c r="Q160" i="20"/>
  <c r="I158" i="20"/>
  <c r="G158" i="20"/>
  <c r="S159" i="20"/>
  <c r="Q159" i="20"/>
  <c r="I157" i="20"/>
  <c r="G157" i="20"/>
  <c r="S158" i="20"/>
  <c r="Q158" i="20"/>
  <c r="I156" i="20"/>
  <c r="G156" i="20"/>
  <c r="S157" i="20"/>
  <c r="Q157" i="20"/>
  <c r="I155" i="20"/>
  <c r="G155" i="20"/>
  <c r="S156" i="20"/>
  <c r="Q156" i="20"/>
  <c r="I154" i="20"/>
  <c r="G154" i="20"/>
  <c r="S155" i="20"/>
  <c r="Q155" i="20"/>
  <c r="I153" i="20"/>
  <c r="G153" i="20"/>
  <c r="S154" i="20"/>
  <c r="Q154" i="20"/>
  <c r="I152" i="20"/>
  <c r="G152" i="20"/>
  <c r="S153" i="20"/>
  <c r="Q153" i="20"/>
  <c r="I151" i="20"/>
  <c r="G151" i="20"/>
  <c r="S152" i="20"/>
  <c r="Q152" i="20"/>
  <c r="I150" i="20"/>
  <c r="G150" i="20"/>
  <c r="S151" i="20"/>
  <c r="Q151" i="20"/>
  <c r="I149" i="20"/>
  <c r="G149" i="20"/>
  <c r="S150" i="20"/>
  <c r="Q150" i="20"/>
  <c r="I148" i="20"/>
  <c r="G148" i="20"/>
  <c r="S149" i="20"/>
  <c r="Q149" i="20"/>
  <c r="I147" i="20"/>
  <c r="G147" i="20"/>
  <c r="S148" i="20"/>
  <c r="Q148" i="20"/>
  <c r="I146" i="20"/>
  <c r="G146" i="20"/>
  <c r="S147" i="20"/>
  <c r="Q147" i="20"/>
  <c r="I145" i="20"/>
  <c r="G145" i="20"/>
  <c r="S146" i="20"/>
  <c r="Q146" i="20"/>
  <c r="I144" i="20"/>
  <c r="G144" i="20"/>
  <c r="S145" i="20"/>
  <c r="Q145" i="20"/>
  <c r="I143" i="20"/>
  <c r="G143" i="20"/>
  <c r="S144" i="20"/>
  <c r="Q144" i="20"/>
  <c r="I142" i="20"/>
  <c r="G142" i="20"/>
  <c r="S143" i="20"/>
  <c r="Q143" i="20"/>
  <c r="I141" i="20"/>
  <c r="G141" i="20"/>
  <c r="S142" i="20"/>
  <c r="Q142" i="20"/>
  <c r="I140" i="20"/>
  <c r="G140" i="20"/>
  <c r="S141" i="20"/>
  <c r="Q141" i="20"/>
  <c r="I139" i="20"/>
  <c r="G139" i="20"/>
  <c r="S140" i="20"/>
  <c r="Q140" i="20"/>
  <c r="I138" i="20"/>
  <c r="G138" i="20"/>
  <c r="S139" i="20"/>
  <c r="Q139" i="20"/>
  <c r="I137" i="20"/>
  <c r="G137" i="20"/>
  <c r="S138" i="20"/>
  <c r="Q138" i="20"/>
  <c r="I136" i="20"/>
  <c r="G136" i="20"/>
  <c r="S137" i="20"/>
  <c r="Q137" i="20"/>
  <c r="I135" i="20"/>
  <c r="G135" i="20"/>
  <c r="S136" i="20"/>
  <c r="Q136" i="20"/>
  <c r="I134" i="20"/>
  <c r="G134" i="20"/>
  <c r="S135" i="20"/>
  <c r="Q135" i="20"/>
  <c r="I133" i="20"/>
  <c r="G133" i="20"/>
  <c r="S134" i="20"/>
  <c r="Q134" i="20"/>
  <c r="I132" i="20"/>
  <c r="G132" i="20"/>
  <c r="S133" i="20"/>
  <c r="Q133" i="20"/>
  <c r="I131" i="20"/>
  <c r="G131" i="20"/>
  <c r="S132" i="20"/>
  <c r="Q132" i="20"/>
  <c r="I130" i="20"/>
  <c r="G130" i="20"/>
  <c r="S131" i="20"/>
  <c r="Q131" i="20"/>
  <c r="I129" i="20"/>
  <c r="G129" i="20"/>
  <c r="S130" i="20"/>
  <c r="Q130" i="20"/>
  <c r="I128" i="20"/>
  <c r="G128" i="20"/>
  <c r="S129" i="20"/>
  <c r="Q129" i="20"/>
  <c r="I127" i="20"/>
  <c r="G127" i="20"/>
  <c r="S128" i="20"/>
  <c r="Q128" i="20"/>
  <c r="I126" i="20"/>
  <c r="G126" i="20"/>
  <c r="S127" i="20"/>
  <c r="Q127" i="20"/>
  <c r="I125" i="20"/>
  <c r="G125" i="20"/>
  <c r="S126" i="20"/>
  <c r="Q126" i="20"/>
  <c r="I124" i="20"/>
  <c r="G124" i="20"/>
  <c r="S125" i="20"/>
  <c r="Q125" i="20"/>
  <c r="I123" i="20"/>
  <c r="G123" i="20"/>
  <c r="S124" i="20"/>
  <c r="Q124" i="20"/>
  <c r="I122" i="20"/>
  <c r="G122" i="20"/>
  <c r="S123" i="20"/>
  <c r="Q123" i="20"/>
  <c r="I121" i="20"/>
  <c r="G121" i="20"/>
  <c r="J111" i="20"/>
  <c r="J110" i="20"/>
  <c r="J109" i="20"/>
  <c r="J108" i="20"/>
  <c r="V55" i="20"/>
  <c r="J107" i="20"/>
  <c r="V68" i="20"/>
  <c r="J106" i="20"/>
  <c r="V67" i="20"/>
  <c r="J105" i="20"/>
  <c r="V66" i="20"/>
  <c r="J104" i="20"/>
  <c r="V62" i="20"/>
  <c r="C61" i="20"/>
  <c r="J103" i="20"/>
  <c r="J102" i="20"/>
  <c r="J101" i="20"/>
  <c r="J100" i="20"/>
  <c r="J99" i="20"/>
  <c r="V53" i="20"/>
  <c r="J98" i="20"/>
  <c r="V51" i="20"/>
  <c r="J97" i="20"/>
  <c r="J96" i="20"/>
  <c r="F94" i="20"/>
  <c r="J95" i="20"/>
  <c r="J94" i="20"/>
  <c r="J93" i="20"/>
  <c r="J92" i="20"/>
  <c r="V33" i="20"/>
  <c r="J91" i="20"/>
  <c r="V48" i="20"/>
  <c r="J90" i="20"/>
  <c r="V21" i="20"/>
  <c r="J89" i="20"/>
  <c r="F73" i="20"/>
  <c r="D73" i="20"/>
  <c r="L74" i="20"/>
  <c r="G72" i="20"/>
  <c r="C72" i="20"/>
  <c r="L73" i="20"/>
  <c r="F71" i="20"/>
  <c r="D71" i="20"/>
  <c r="L72" i="20"/>
  <c r="G70" i="20"/>
  <c r="C70" i="20"/>
  <c r="L71" i="20"/>
  <c r="F69" i="20"/>
  <c r="D69" i="20"/>
  <c r="L70" i="20"/>
  <c r="C68" i="20"/>
  <c r="L68" i="20"/>
  <c r="F66" i="20"/>
  <c r="G66" i="20"/>
  <c r="L67" i="20"/>
  <c r="F65" i="20"/>
  <c r="L66" i="20"/>
  <c r="F64" i="20"/>
  <c r="L65" i="20"/>
  <c r="L64" i="20"/>
  <c r="L63" i="20"/>
  <c r="F62" i="20"/>
  <c r="L62" i="20"/>
  <c r="D61" i="20"/>
  <c r="L61" i="20"/>
  <c r="F60" i="20"/>
  <c r="D60" i="20"/>
  <c r="L60" i="20"/>
  <c r="G59" i="20"/>
  <c r="C59" i="20"/>
  <c r="L59" i="20"/>
  <c r="F58" i="20"/>
  <c r="D58" i="20"/>
  <c r="L58" i="20"/>
  <c r="G57" i="20"/>
  <c r="C57" i="20"/>
  <c r="L57" i="20"/>
  <c r="L56" i="20"/>
  <c r="C55" i="20"/>
  <c r="L55" i="20"/>
  <c r="F54" i="20"/>
  <c r="L54" i="20"/>
  <c r="E53" i="20"/>
  <c r="D53" i="20"/>
  <c r="L53" i="20"/>
  <c r="F52" i="20"/>
  <c r="L52" i="20"/>
  <c r="E51" i="20"/>
  <c r="D51" i="20"/>
  <c r="L51" i="20"/>
  <c r="F50" i="20"/>
  <c r="L50" i="20"/>
  <c r="E49" i="20"/>
  <c r="D49" i="20"/>
  <c r="U48" i="20"/>
  <c r="P48" i="20"/>
  <c r="L48" i="20"/>
  <c r="F47" i="20"/>
  <c r="F48" i="20"/>
  <c r="L47" i="20"/>
  <c r="E46" i="20"/>
  <c r="D46" i="20"/>
  <c r="L45" i="20"/>
  <c r="F45" i="20"/>
  <c r="L44" i="20"/>
  <c r="F44" i="20"/>
  <c r="L43" i="20"/>
  <c r="F43" i="20"/>
  <c r="L42" i="20"/>
  <c r="F42" i="20"/>
  <c r="L41" i="20"/>
  <c r="F41" i="20"/>
  <c r="L40" i="20"/>
  <c r="E40" i="20"/>
  <c r="D40" i="20"/>
  <c r="C40" i="20"/>
  <c r="M39" i="20"/>
  <c r="D39" i="20"/>
  <c r="L39" i="20"/>
  <c r="F39" i="20"/>
  <c r="L38" i="20"/>
  <c r="F38" i="20"/>
  <c r="L37" i="20"/>
  <c r="F37" i="20"/>
  <c r="L36" i="20"/>
  <c r="F36" i="20"/>
  <c r="L35" i="20"/>
  <c r="E35" i="20"/>
  <c r="D35" i="20"/>
  <c r="L34" i="20"/>
  <c r="F34" i="20"/>
  <c r="L33" i="20"/>
  <c r="F33" i="20"/>
  <c r="L32" i="20"/>
  <c r="F32" i="20"/>
  <c r="L31" i="20"/>
  <c r="F31" i="20"/>
  <c r="L30" i="20"/>
  <c r="F30" i="20"/>
  <c r="P29" i="20"/>
  <c r="L29" i="20"/>
  <c r="F29" i="20"/>
  <c r="L28" i="20"/>
  <c r="F28" i="20"/>
  <c r="L27" i="20"/>
  <c r="F27" i="20"/>
  <c r="U26" i="20"/>
  <c r="L26" i="20"/>
  <c r="F26" i="20"/>
  <c r="P25" i="20"/>
  <c r="M25" i="20"/>
  <c r="D25" i="20"/>
  <c r="L25" i="20"/>
  <c r="F25" i="20"/>
  <c r="U24" i="20"/>
  <c r="R24" i="20"/>
  <c r="P24" i="20"/>
  <c r="L24" i="20"/>
  <c r="F24" i="20"/>
  <c r="P23" i="20"/>
  <c r="L23" i="20"/>
  <c r="F23" i="20"/>
  <c r="L22" i="20"/>
  <c r="E22" i="20"/>
  <c r="D22" i="20"/>
  <c r="O21" i="20"/>
  <c r="M21" i="20"/>
  <c r="D21" i="20"/>
  <c r="L21" i="20"/>
  <c r="F21" i="20"/>
  <c r="U20" i="20"/>
  <c r="L20" i="20"/>
  <c r="F20" i="20"/>
  <c r="U19" i="20"/>
  <c r="L19" i="20"/>
  <c r="F19" i="20"/>
  <c r="U18" i="20"/>
  <c r="L18" i="20"/>
  <c r="F18" i="20"/>
  <c r="L17" i="20"/>
  <c r="E17" i="20"/>
  <c r="D17" i="20"/>
  <c r="O16" i="20"/>
  <c r="L16" i="20"/>
  <c r="F16" i="20"/>
  <c r="L15" i="20"/>
  <c r="F15" i="20"/>
  <c r="U14" i="20"/>
  <c r="P14" i="20"/>
  <c r="L14" i="20"/>
  <c r="F14" i="20"/>
  <c r="U13" i="20"/>
  <c r="P13" i="20"/>
  <c r="L13" i="20"/>
  <c r="F13" i="20"/>
  <c r="L12" i="20"/>
  <c r="E12" i="20"/>
  <c r="N102" i="28"/>
  <c r="D80" i="24"/>
  <c r="D33" i="24"/>
  <c r="N98" i="28"/>
  <c r="G58" i="20"/>
  <c r="G60" i="20"/>
  <c r="D121" i="28"/>
  <c r="D123" i="28"/>
  <c r="D124" i="28"/>
  <c r="G45" i="20"/>
  <c r="N103" i="28"/>
  <c r="L114" i="28"/>
  <c r="E89" i="24"/>
  <c r="N104" i="28"/>
  <c r="N101" i="28"/>
  <c r="G43" i="20"/>
  <c r="G41" i="20"/>
  <c r="K38" i="34"/>
  <c r="G73" i="20"/>
  <c r="G246" i="20"/>
  <c r="N33" i="20"/>
  <c r="M33" i="20"/>
  <c r="D33" i="20"/>
  <c r="N51" i="20"/>
  <c r="M51" i="20"/>
  <c r="D50" i="20"/>
  <c r="G50" i="20"/>
  <c r="N55" i="20"/>
  <c r="M55" i="20"/>
  <c r="D54" i="20"/>
  <c r="G54" i="20"/>
  <c r="V26" i="20"/>
  <c r="J317" i="20"/>
  <c r="N36" i="20"/>
  <c r="M36" i="20"/>
  <c r="D36" i="20"/>
  <c r="V28" i="20"/>
  <c r="V32" i="20"/>
  <c r="V22" i="20"/>
  <c r="C22" i="20"/>
  <c r="H313" i="20"/>
  <c r="V15" i="20"/>
  <c r="V12" i="20"/>
  <c r="V31" i="20"/>
  <c r="V34" i="20"/>
  <c r="V63" i="20"/>
  <c r="V16" i="20"/>
  <c r="V25" i="20"/>
  <c r="V30" i="20"/>
  <c r="N28" i="20"/>
  <c r="M28" i="20"/>
  <c r="D28" i="20"/>
  <c r="N26" i="20"/>
  <c r="M26" i="20"/>
  <c r="D26" i="20"/>
  <c r="V36" i="20"/>
  <c r="N24" i="20"/>
  <c r="M24" i="20"/>
  <c r="D24" i="20"/>
  <c r="N53" i="20"/>
  <c r="M53" i="20"/>
  <c r="D52" i="20"/>
  <c r="G52" i="20"/>
  <c r="H304" i="20"/>
  <c r="H310" i="20"/>
  <c r="H312" i="20"/>
  <c r="G245" i="20"/>
  <c r="J304" i="20"/>
  <c r="J308" i="20"/>
  <c r="J310" i="20"/>
  <c r="J312" i="20"/>
  <c r="M16" i="20"/>
  <c r="D16" i="20"/>
  <c r="V14" i="20"/>
  <c r="N25" i="20"/>
  <c r="H301" i="20"/>
  <c r="H303" i="20"/>
  <c r="H305" i="20"/>
  <c r="J316" i="20"/>
  <c r="V39" i="20"/>
  <c r="V20" i="20"/>
  <c r="N32" i="20"/>
  <c r="M32" i="20"/>
  <c r="D32" i="20"/>
  <c r="N66" i="20"/>
  <c r="M66" i="20"/>
  <c r="D64" i="20"/>
  <c r="G64" i="20"/>
  <c r="N68" i="20"/>
  <c r="M68" i="20"/>
  <c r="H309" i="20"/>
  <c r="J307" i="20"/>
  <c r="V13" i="20"/>
  <c r="V19" i="20"/>
  <c r="G69" i="20"/>
  <c r="N48" i="20"/>
  <c r="M48" i="20"/>
  <c r="D47" i="20"/>
  <c r="N23" i="20"/>
  <c r="M23" i="20"/>
  <c r="D23" i="20"/>
  <c r="N27" i="20"/>
  <c r="M27" i="20"/>
  <c r="D27" i="20"/>
  <c r="N65" i="20"/>
  <c r="M65" i="20"/>
  <c r="N37" i="20"/>
  <c r="M37" i="20"/>
  <c r="D37" i="20"/>
  <c r="H311" i="20"/>
  <c r="E33" i="24"/>
  <c r="C34" i="25"/>
  <c r="F34" i="25"/>
  <c r="V47" i="20"/>
  <c r="C46" i="20"/>
  <c r="V24" i="20"/>
  <c r="N67" i="20"/>
  <c r="M67" i="20"/>
  <c r="D65" i="20"/>
  <c r="G65" i="20"/>
  <c r="G244" i="20"/>
  <c r="J305" i="20"/>
  <c r="J314" i="20"/>
  <c r="H314" i="20"/>
  <c r="D90" i="24"/>
  <c r="D43" i="24"/>
  <c r="E87" i="24"/>
  <c r="E73" i="24"/>
  <c r="E65" i="24"/>
  <c r="E57" i="24"/>
  <c r="E55" i="24"/>
  <c r="V27" i="20"/>
  <c r="V29" i="20"/>
  <c r="V37" i="20"/>
  <c r="V18" i="20"/>
  <c r="V23" i="20"/>
  <c r="V50" i="20"/>
  <c r="C49" i="20"/>
  <c r="V52" i="20"/>
  <c r="C51" i="20"/>
  <c r="G71" i="20"/>
  <c r="N14" i="20"/>
  <c r="M14" i="20"/>
  <c r="D14" i="20"/>
  <c r="N15" i="20"/>
  <c r="M15" i="20"/>
  <c r="D15" i="20"/>
  <c r="N31" i="20"/>
  <c r="M31" i="20"/>
  <c r="D31" i="20"/>
  <c r="N63" i="20"/>
  <c r="M63" i="20"/>
  <c r="D62" i="20"/>
  <c r="G62" i="20"/>
  <c r="N38" i="20"/>
  <c r="M38" i="20"/>
  <c r="D38" i="20"/>
  <c r="H300" i="20"/>
  <c r="J303" i="20"/>
  <c r="H307" i="20"/>
  <c r="D93" i="24"/>
  <c r="D46" i="24"/>
  <c r="D82" i="24"/>
  <c r="D35" i="24"/>
  <c r="E79" i="24"/>
  <c r="E71" i="24"/>
  <c r="E64" i="24"/>
  <c r="E63" i="24"/>
  <c r="E56" i="24"/>
  <c r="V64" i="20"/>
  <c r="C63" i="20"/>
  <c r="J302" i="20"/>
  <c r="H302" i="20"/>
  <c r="J309" i="20"/>
  <c r="D91" i="24"/>
  <c r="D44" i="24"/>
  <c r="D85" i="24"/>
  <c r="D38" i="24"/>
  <c r="D74" i="24"/>
  <c r="D27" i="24"/>
  <c r="D66" i="24"/>
  <c r="D19" i="24"/>
  <c r="D58" i="24"/>
  <c r="D11" i="24"/>
  <c r="D87" i="24"/>
  <c r="D40" i="24"/>
  <c r="D83" i="24"/>
  <c r="D36" i="24"/>
  <c r="D77" i="24"/>
  <c r="D30" i="24"/>
  <c r="D69" i="24"/>
  <c r="D22" i="24"/>
  <c r="D61" i="24"/>
  <c r="D14" i="24"/>
  <c r="D53" i="24"/>
  <c r="D6" i="24"/>
  <c r="N95" i="28"/>
  <c r="J121" i="28"/>
  <c r="J123" i="28"/>
  <c r="J124" i="28"/>
  <c r="J306" i="20"/>
  <c r="H306" i="20"/>
  <c r="J313" i="20"/>
  <c r="D79" i="24"/>
  <c r="D32" i="24"/>
  <c r="D75" i="24"/>
  <c r="D28" i="24"/>
  <c r="D71" i="24"/>
  <c r="D24" i="24"/>
  <c r="D67" i="24"/>
  <c r="D20" i="24"/>
  <c r="D59" i="24"/>
  <c r="D12" i="24"/>
  <c r="D51" i="24"/>
  <c r="D4" i="24"/>
  <c r="D94" i="24"/>
  <c r="D47" i="24"/>
  <c r="V17" i="20"/>
  <c r="C17" i="20"/>
  <c r="H308" i="20"/>
  <c r="J311" i="20"/>
  <c r="H315" i="20"/>
  <c r="D89" i="24"/>
  <c r="D42" i="24"/>
  <c r="D88" i="24"/>
  <c r="D41" i="24"/>
  <c r="D86" i="24"/>
  <c r="D39" i="24"/>
  <c r="E80" i="24"/>
  <c r="E75" i="24"/>
  <c r="E67" i="24"/>
  <c r="E59" i="24"/>
  <c r="E51" i="24"/>
  <c r="E92" i="24"/>
  <c r="D81" i="24"/>
  <c r="D34" i="24"/>
  <c r="D78" i="24"/>
  <c r="D31" i="24"/>
  <c r="C17" i="25"/>
  <c r="E76" i="24"/>
  <c r="D72" i="24"/>
  <c r="D25" i="24"/>
  <c r="D70" i="24"/>
  <c r="D23" i="24"/>
  <c r="E68" i="24"/>
  <c r="D64" i="24"/>
  <c r="D17" i="24"/>
  <c r="D62" i="24"/>
  <c r="D15" i="24"/>
  <c r="E60" i="24"/>
  <c r="D56" i="24"/>
  <c r="D9" i="24"/>
  <c r="D54" i="24"/>
  <c r="D7" i="24"/>
  <c r="D52" i="24"/>
  <c r="D5" i="24"/>
  <c r="I121" i="28"/>
  <c r="I123" i="28"/>
  <c r="I124" i="28"/>
  <c r="V35" i="20"/>
  <c r="C35" i="20"/>
  <c r="J315" i="20"/>
  <c r="E84" i="24"/>
  <c r="E81" i="24"/>
  <c r="D73" i="24"/>
  <c r="D26" i="24"/>
  <c r="D65" i="24"/>
  <c r="D18" i="24"/>
  <c r="D63" i="24"/>
  <c r="D16" i="24"/>
  <c r="D57" i="24"/>
  <c r="D10" i="24"/>
  <c r="D55" i="24"/>
  <c r="D8" i="24"/>
  <c r="D38" i="34"/>
  <c r="C12" i="33"/>
  <c r="E12" i="33"/>
  <c r="C28" i="33"/>
  <c r="E28" i="33"/>
  <c r="D33" i="34"/>
  <c r="D34" i="34"/>
  <c r="C29" i="33"/>
  <c r="E29" i="33"/>
  <c r="D15" i="34"/>
  <c r="C19" i="33"/>
  <c r="E19" i="33"/>
  <c r="C14" i="33"/>
  <c r="E14" i="33"/>
  <c r="D40" i="34"/>
  <c r="D46" i="34"/>
  <c r="C30" i="33"/>
  <c r="E30" i="33"/>
  <c r="C27" i="33"/>
  <c r="E27" i="33"/>
  <c r="D32" i="34"/>
  <c r="D13" i="34"/>
  <c r="C17" i="33"/>
  <c r="E17" i="33"/>
  <c r="D29" i="34"/>
  <c r="C34" i="33"/>
  <c r="E34" i="33"/>
  <c r="D28" i="34"/>
  <c r="C33" i="33"/>
  <c r="E33" i="33"/>
  <c r="C16" i="33"/>
  <c r="E16" i="33"/>
  <c r="D42" i="34"/>
  <c r="C25" i="33"/>
  <c r="E25" i="33"/>
  <c r="D23" i="34"/>
  <c r="C18" i="33"/>
  <c r="E18" i="33"/>
  <c r="D14" i="34"/>
  <c r="D16" i="34"/>
  <c r="C20" i="33"/>
  <c r="E20" i="33"/>
  <c r="D41" i="34"/>
  <c r="C15" i="33"/>
  <c r="E15" i="33"/>
  <c r="D30" i="34"/>
  <c r="C35" i="33"/>
  <c r="E35" i="33"/>
  <c r="D18" i="34"/>
  <c r="C22" i="33"/>
  <c r="E22" i="33"/>
  <c r="D19" i="34"/>
  <c r="C23" i="33"/>
  <c r="E23" i="33"/>
  <c r="C24" i="33"/>
  <c r="E24" i="33"/>
  <c r="D22" i="34"/>
  <c r="D47" i="34"/>
  <c r="C31" i="33"/>
  <c r="E31" i="33"/>
  <c r="C32" i="33"/>
  <c r="E32" i="33"/>
  <c r="D27" i="34"/>
  <c r="D36" i="34"/>
  <c r="C10" i="33"/>
  <c r="E10" i="33"/>
  <c r="D24" i="34"/>
  <c r="C26" i="33"/>
  <c r="E26" i="33"/>
  <c r="C21" i="33"/>
  <c r="E21" i="33"/>
  <c r="D17" i="34"/>
  <c r="D37" i="34"/>
  <c r="C11" i="33"/>
  <c r="E11" i="33"/>
  <c r="L10" i="33"/>
  <c r="L16" i="33"/>
  <c r="K2" i="33"/>
  <c r="L94" i="28"/>
  <c r="N94" i="28"/>
  <c r="L121" i="28"/>
  <c r="L123" i="28"/>
  <c r="L124" i="28"/>
  <c r="M121" i="28"/>
  <c r="M123" i="28"/>
  <c r="M124" i="28"/>
  <c r="K115" i="28"/>
  <c r="L115" i="28"/>
  <c r="G96" i="28"/>
  <c r="N96" i="28"/>
  <c r="G121" i="28"/>
  <c r="G123" i="28"/>
  <c r="G124" i="28"/>
  <c r="K121" i="28"/>
  <c r="K123" i="28"/>
  <c r="K124" i="28"/>
  <c r="K6" i="25"/>
  <c r="L10" i="25"/>
  <c r="L16" i="25"/>
  <c r="L44" i="25"/>
  <c r="K10" i="25"/>
  <c r="K16" i="25"/>
  <c r="K44" i="25"/>
  <c r="E88" i="24"/>
  <c r="E72" i="24"/>
  <c r="E90" i="24"/>
  <c r="E82" i="24"/>
  <c r="E74" i="24"/>
  <c r="E66" i="24"/>
  <c r="E58" i="24"/>
  <c r="E83" i="24"/>
  <c r="E52" i="24"/>
  <c r="E93" i="24"/>
  <c r="D92" i="24"/>
  <c r="D45" i="24"/>
  <c r="E85" i="24"/>
  <c r="D84" i="24"/>
  <c r="D37" i="24"/>
  <c r="E77" i="24"/>
  <c r="D76" i="24"/>
  <c r="D29" i="24"/>
  <c r="E69" i="24"/>
  <c r="D68" i="24"/>
  <c r="D21" i="24"/>
  <c r="E61" i="24"/>
  <c r="D60" i="24"/>
  <c r="D13" i="24"/>
  <c r="E53" i="24"/>
  <c r="E91" i="24"/>
  <c r="E94" i="24"/>
  <c r="E86" i="24"/>
  <c r="E78" i="24"/>
  <c r="E70" i="24"/>
  <c r="E62" i="24"/>
  <c r="E54" i="24"/>
  <c r="F93" i="20"/>
  <c r="E205" i="20"/>
  <c r="N29" i="20"/>
  <c r="M29" i="20"/>
  <c r="D29" i="20"/>
  <c r="V54" i="20"/>
  <c r="C53" i="20"/>
  <c r="G239" i="20"/>
  <c r="F205" i="20"/>
  <c r="D208" i="20"/>
  <c r="N19" i="20"/>
  <c r="M19" i="20"/>
  <c r="D19" i="20"/>
  <c r="G241" i="20"/>
  <c r="N13" i="20"/>
  <c r="M13" i="20"/>
  <c r="D13" i="20"/>
  <c r="N30" i="20"/>
  <c r="M30" i="20"/>
  <c r="D30" i="20"/>
  <c r="V38" i="20"/>
  <c r="R42" i="20"/>
  <c r="M42" i="20"/>
  <c r="D42" i="20"/>
  <c r="G42" i="20"/>
  <c r="G242" i="20"/>
  <c r="R44" i="20"/>
  <c r="M44" i="20"/>
  <c r="D44" i="20"/>
  <c r="G44" i="20"/>
  <c r="D207" i="20"/>
  <c r="N20" i="20"/>
  <c r="M20" i="20"/>
  <c r="D20" i="20"/>
  <c r="K39" i="34"/>
  <c r="D48" i="20"/>
  <c r="G48" i="20"/>
  <c r="G47" i="20"/>
  <c r="E8" i="24"/>
  <c r="C33" i="25"/>
  <c r="F33" i="25"/>
  <c r="E15" i="24"/>
  <c r="C38" i="25"/>
  <c r="F38" i="25"/>
  <c r="E41" i="24"/>
  <c r="C39" i="25"/>
  <c r="F39" i="25"/>
  <c r="E24" i="24"/>
  <c r="C15" i="25"/>
  <c r="F15" i="25"/>
  <c r="E29" i="24"/>
  <c r="C35" i="25"/>
  <c r="F35" i="25"/>
  <c r="E10" i="24"/>
  <c r="C49" i="25"/>
  <c r="F49" i="25"/>
  <c r="E17" i="24"/>
  <c r="C22" i="25"/>
  <c r="F22" i="25"/>
  <c r="E42" i="24"/>
  <c r="C41" i="25"/>
  <c r="F41" i="25"/>
  <c r="E28" i="24"/>
  <c r="C16" i="25"/>
  <c r="F16" i="25"/>
  <c r="E35" i="24"/>
  <c r="C42" i="25"/>
  <c r="F42" i="25"/>
  <c r="E16" i="24"/>
  <c r="C50" i="25"/>
  <c r="F50" i="25"/>
  <c r="E32" i="24"/>
  <c r="C40" i="25"/>
  <c r="F40" i="25"/>
  <c r="E6" i="24"/>
  <c r="C51" i="25"/>
  <c r="F51" i="25"/>
  <c r="E46" i="24"/>
  <c r="C20" i="25"/>
  <c r="F20" i="25"/>
  <c r="E43" i="24"/>
  <c r="C18" i="25"/>
  <c r="F18" i="25"/>
  <c r="E37" i="24"/>
  <c r="C44" i="25"/>
  <c r="F44" i="25"/>
  <c r="E18" i="24"/>
  <c r="C30" i="25"/>
  <c r="F30" i="25"/>
  <c r="E23" i="24"/>
  <c r="C48" i="25"/>
  <c r="F48" i="25"/>
  <c r="E14" i="24"/>
  <c r="C43" i="25"/>
  <c r="F43" i="25"/>
  <c r="E11" i="24"/>
  <c r="C11" i="25"/>
  <c r="F11" i="25"/>
  <c r="E26" i="24"/>
  <c r="C45" i="25"/>
  <c r="F45" i="25"/>
  <c r="E5" i="24"/>
  <c r="C53" i="25"/>
  <c r="F53" i="25"/>
  <c r="E25" i="24"/>
  <c r="C37" i="25"/>
  <c r="F37" i="25"/>
  <c r="E22" i="24"/>
  <c r="C14" i="25"/>
  <c r="F14" i="25"/>
  <c r="E19" i="24"/>
  <c r="C13" i="25"/>
  <c r="F13" i="25"/>
  <c r="E13" i="24"/>
  <c r="C31" i="25"/>
  <c r="F31" i="25"/>
  <c r="E45" i="24"/>
  <c r="C19" i="25"/>
  <c r="F19" i="25"/>
  <c r="E7" i="24"/>
  <c r="C28" i="25"/>
  <c r="F28" i="25"/>
  <c r="E4" i="24"/>
  <c r="C47" i="25"/>
  <c r="F47" i="25"/>
  <c r="E30" i="24"/>
  <c r="C32" i="25"/>
  <c r="F32" i="25"/>
  <c r="E27" i="24"/>
  <c r="C52" i="25"/>
  <c r="F52" i="25"/>
  <c r="E9" i="24"/>
  <c r="C10" i="25"/>
  <c r="F10" i="25"/>
  <c r="E31" i="24"/>
  <c r="F17" i="25"/>
  <c r="E47" i="24"/>
  <c r="C26" i="25"/>
  <c r="F26" i="25"/>
  <c r="E12" i="24"/>
  <c r="C12" i="25"/>
  <c r="F12" i="25"/>
  <c r="E36" i="24"/>
  <c r="C27" i="25"/>
  <c r="F27" i="25"/>
  <c r="E38" i="24"/>
  <c r="C24" i="25"/>
  <c r="F24" i="25"/>
  <c r="E21" i="24"/>
  <c r="C46" i="25"/>
  <c r="F46" i="25"/>
  <c r="N124" i="28"/>
  <c r="H125" i="28"/>
  <c r="E34" i="24"/>
  <c r="C36" i="25"/>
  <c r="F36" i="25"/>
  <c r="E39" i="24"/>
  <c r="C23" i="25"/>
  <c r="F23" i="25"/>
  <c r="E20" i="24"/>
  <c r="C21" i="25"/>
  <c r="F21" i="25"/>
  <c r="E40" i="24"/>
  <c r="C25" i="25"/>
  <c r="F25" i="25"/>
  <c r="E44" i="24"/>
  <c r="C29" i="25"/>
  <c r="F29" i="25"/>
  <c r="C3" i="33"/>
  <c r="Q6" i="33"/>
  <c r="S20" i="33"/>
  <c r="M10" i="33"/>
  <c r="M16" i="33"/>
  <c r="L2" i="33"/>
  <c r="J125" i="28"/>
  <c r="N108" i="28"/>
  <c r="O96" i="28"/>
  <c r="A96" i="28"/>
  <c r="L6" i="25"/>
  <c r="M10" i="25"/>
  <c r="M16" i="25"/>
  <c r="M44" i="25"/>
  <c r="G40" i="20"/>
  <c r="E207" i="20"/>
  <c r="E208" i="20"/>
  <c r="E206" i="20"/>
  <c r="R218" i="20"/>
  <c r="R210" i="20"/>
  <c r="R206" i="20"/>
  <c r="R200" i="20"/>
  <c r="R196" i="20"/>
  <c r="R192" i="20"/>
  <c r="R188" i="20"/>
  <c r="R184" i="20"/>
  <c r="R180" i="20"/>
  <c r="R176" i="20"/>
  <c r="R172" i="20"/>
  <c r="R168" i="20"/>
  <c r="R164" i="20"/>
  <c r="R160" i="20"/>
  <c r="R156" i="20"/>
  <c r="R152" i="20"/>
  <c r="R148" i="20"/>
  <c r="R144" i="20"/>
  <c r="R140" i="20"/>
  <c r="R136" i="20"/>
  <c r="R132" i="20"/>
  <c r="R128" i="20"/>
  <c r="R124" i="20"/>
  <c r="R215" i="20"/>
  <c r="R203" i="20"/>
  <c r="H197" i="20"/>
  <c r="H193" i="20"/>
  <c r="H189" i="20"/>
  <c r="H185" i="20"/>
  <c r="H181" i="20"/>
  <c r="H177" i="20"/>
  <c r="H173" i="20"/>
  <c r="H169" i="20"/>
  <c r="H165" i="20"/>
  <c r="H161" i="20"/>
  <c r="H157" i="20"/>
  <c r="H153" i="20"/>
  <c r="H149" i="20"/>
  <c r="H145" i="20"/>
  <c r="H141" i="20"/>
  <c r="H137" i="20"/>
  <c r="H133" i="20"/>
  <c r="H129" i="20"/>
  <c r="H125" i="20"/>
  <c r="H121" i="20"/>
  <c r="R179" i="20"/>
  <c r="R163" i="20"/>
  <c r="R220" i="20"/>
  <c r="R212" i="20"/>
  <c r="R207" i="20"/>
  <c r="R201" i="20"/>
  <c r="R197" i="20"/>
  <c r="R193" i="20"/>
  <c r="R189" i="20"/>
  <c r="R185" i="20"/>
  <c r="R181" i="20"/>
  <c r="R177" i="20"/>
  <c r="R173" i="20"/>
  <c r="R169" i="20"/>
  <c r="R165" i="20"/>
  <c r="R161" i="20"/>
  <c r="R157" i="20"/>
  <c r="R153" i="20"/>
  <c r="R149" i="20"/>
  <c r="R145" i="20"/>
  <c r="R141" i="20"/>
  <c r="R137" i="20"/>
  <c r="R133" i="20"/>
  <c r="R129" i="20"/>
  <c r="R125" i="20"/>
  <c r="F96" i="20"/>
  <c r="R151" i="20"/>
  <c r="R217" i="20"/>
  <c r="R205" i="20"/>
  <c r="H198" i="20"/>
  <c r="H194" i="20"/>
  <c r="H190" i="20"/>
  <c r="H186" i="20"/>
  <c r="H182" i="20"/>
  <c r="H178" i="20"/>
  <c r="H174" i="20"/>
  <c r="H170" i="20"/>
  <c r="H166" i="20"/>
  <c r="H162" i="20"/>
  <c r="H158" i="20"/>
  <c r="H154" i="20"/>
  <c r="H150" i="20"/>
  <c r="H146" i="20"/>
  <c r="H142" i="20"/>
  <c r="H138" i="20"/>
  <c r="H134" i="20"/>
  <c r="H130" i="20"/>
  <c r="H126" i="20"/>
  <c r="H122" i="20"/>
  <c r="R191" i="20"/>
  <c r="R214" i="20"/>
  <c r="R208" i="20"/>
  <c r="R202" i="20"/>
  <c r="R198" i="20"/>
  <c r="R194" i="20"/>
  <c r="R190" i="20"/>
  <c r="R186" i="20"/>
  <c r="R182" i="20"/>
  <c r="R178" i="20"/>
  <c r="R174" i="20"/>
  <c r="R170" i="20"/>
  <c r="R166" i="20"/>
  <c r="R162" i="20"/>
  <c r="R158" i="20"/>
  <c r="R154" i="20"/>
  <c r="R150" i="20"/>
  <c r="R146" i="20"/>
  <c r="R142" i="20"/>
  <c r="R138" i="20"/>
  <c r="R134" i="20"/>
  <c r="R130" i="20"/>
  <c r="R126" i="20"/>
  <c r="R187" i="20"/>
  <c r="R175" i="20"/>
  <c r="R127" i="20"/>
  <c r="R219" i="20"/>
  <c r="R211" i="20"/>
  <c r="H199" i="20"/>
  <c r="H195" i="20"/>
  <c r="H191" i="20"/>
  <c r="H187" i="20"/>
  <c r="H183" i="20"/>
  <c r="H179" i="20"/>
  <c r="H175" i="20"/>
  <c r="H171" i="20"/>
  <c r="H167" i="20"/>
  <c r="H163" i="20"/>
  <c r="H159" i="20"/>
  <c r="H155" i="20"/>
  <c r="H151" i="20"/>
  <c r="H147" i="20"/>
  <c r="H143" i="20"/>
  <c r="H139" i="20"/>
  <c r="H135" i="20"/>
  <c r="H131" i="20"/>
  <c r="H127" i="20"/>
  <c r="H123" i="20"/>
  <c r="R216" i="20"/>
  <c r="R209" i="20"/>
  <c r="R204" i="20"/>
  <c r="R199" i="20"/>
  <c r="R183" i="20"/>
  <c r="R147" i="20"/>
  <c r="R131" i="20"/>
  <c r="R221" i="20"/>
  <c r="R213" i="20"/>
  <c r="H200" i="20"/>
  <c r="H196" i="20"/>
  <c r="H192" i="20"/>
  <c r="H188" i="20"/>
  <c r="H184" i="20"/>
  <c r="H180" i="20"/>
  <c r="H176" i="20"/>
  <c r="H172" i="20"/>
  <c r="H168" i="20"/>
  <c r="H164" i="20"/>
  <c r="H160" i="20"/>
  <c r="H156" i="20"/>
  <c r="H152" i="20"/>
  <c r="H148" i="20"/>
  <c r="H144" i="20"/>
  <c r="H140" i="20"/>
  <c r="H136" i="20"/>
  <c r="H132" i="20"/>
  <c r="H128" i="20"/>
  <c r="H124" i="20"/>
  <c r="R195" i="20"/>
  <c r="R171" i="20"/>
  <c r="R167" i="20"/>
  <c r="R159" i="20"/>
  <c r="R155" i="20"/>
  <c r="R143" i="20"/>
  <c r="R139" i="20"/>
  <c r="R135" i="20"/>
  <c r="R123" i="20"/>
  <c r="F97" i="20"/>
  <c r="F207" i="20"/>
  <c r="F208" i="20"/>
  <c r="F206" i="20"/>
  <c r="N18" i="20"/>
  <c r="M18" i="20"/>
  <c r="D18" i="20"/>
  <c r="H6" i="33"/>
  <c r="J21" i="33"/>
  <c r="X6" i="33"/>
  <c r="Z28" i="33"/>
  <c r="U6" i="33"/>
  <c r="W28" i="33"/>
  <c r="N6" i="33"/>
  <c r="P19" i="33"/>
  <c r="W6" i="33"/>
  <c r="Y28" i="33"/>
  <c r="K6" i="33"/>
  <c r="M20" i="33"/>
  <c r="T6" i="33"/>
  <c r="V19" i="33"/>
  <c r="I6" i="33"/>
  <c r="K28" i="33"/>
  <c r="K125" i="28"/>
  <c r="I125" i="28"/>
  <c r="G125" i="28"/>
  <c r="C125" i="28"/>
  <c r="V6" i="33"/>
  <c r="X21" i="33"/>
  <c r="R6" i="33"/>
  <c r="L125" i="28"/>
  <c r="S19" i="33"/>
  <c r="E125" i="28"/>
  <c r="Z19" i="33"/>
  <c r="G6" i="33"/>
  <c r="AA6" i="33"/>
  <c r="F125" i="28"/>
  <c r="D125" i="28"/>
  <c r="J6" i="33"/>
  <c r="M125" i="28"/>
  <c r="S6" i="33"/>
  <c r="U28" i="33"/>
  <c r="S21" i="33"/>
  <c r="B7" i="25"/>
  <c r="K40" i="34"/>
  <c r="O94" i="28"/>
  <c r="A94" i="28"/>
  <c r="M6" i="33"/>
  <c r="L6" i="33"/>
  <c r="N28" i="33"/>
  <c r="Z6" i="33"/>
  <c r="AB21" i="33"/>
  <c r="Y6" i="33"/>
  <c r="AA28" i="33"/>
  <c r="P6" i="33"/>
  <c r="R21" i="33"/>
  <c r="O6" i="33"/>
  <c r="Q28" i="33"/>
  <c r="X19" i="33"/>
  <c r="M28" i="33"/>
  <c r="S28" i="33"/>
  <c r="Z20" i="33"/>
  <c r="Z21" i="33"/>
  <c r="Y20" i="33"/>
  <c r="N10" i="33"/>
  <c r="N16" i="33"/>
  <c r="M2" i="33"/>
  <c r="O108" i="28"/>
  <c r="O102" i="28"/>
  <c r="A102" i="28"/>
  <c r="O103" i="28"/>
  <c r="A103" i="28"/>
  <c r="O106" i="28"/>
  <c r="A106" i="28"/>
  <c r="K31" i="34"/>
  <c r="O100" i="28"/>
  <c r="A100" i="28"/>
  <c r="O105" i="28"/>
  <c r="A105" i="28"/>
  <c r="O104" i="28"/>
  <c r="A104" i="28"/>
  <c r="O99" i="28"/>
  <c r="A99" i="28"/>
  <c r="O95" i="28"/>
  <c r="A95" i="28"/>
  <c r="O98" i="28"/>
  <c r="A98" i="28"/>
  <c r="O101" i="28"/>
  <c r="A101" i="28"/>
  <c r="O97" i="28"/>
  <c r="A97" i="28"/>
  <c r="K21" i="34"/>
  <c r="O107" i="28"/>
  <c r="A107" i="28"/>
  <c r="K48" i="34"/>
  <c r="M6" i="25"/>
  <c r="N10" i="25"/>
  <c r="N16" i="25"/>
  <c r="N44" i="25"/>
  <c r="V28" i="33"/>
  <c r="M19" i="33"/>
  <c r="P20" i="33"/>
  <c r="K21" i="33"/>
  <c r="W19" i="33"/>
  <c r="Q20" i="33"/>
  <c r="J28" i="33"/>
  <c r="Y19" i="33"/>
  <c r="W20" i="33"/>
  <c r="P21" i="33"/>
  <c r="P28" i="33"/>
  <c r="K19" i="33"/>
  <c r="K20" i="33"/>
  <c r="AA21" i="33"/>
  <c r="M21" i="33"/>
  <c r="AA19" i="33"/>
  <c r="R28" i="33"/>
  <c r="V20" i="33"/>
  <c r="W21" i="33"/>
  <c r="X28" i="33"/>
  <c r="V21" i="33"/>
  <c r="Y21" i="33"/>
  <c r="J19" i="33"/>
  <c r="J20" i="33"/>
  <c r="L28" i="33"/>
  <c r="L21" i="33"/>
  <c r="L19" i="33"/>
  <c r="L20" i="33"/>
  <c r="T19" i="33"/>
  <c r="T21" i="33"/>
  <c r="T28" i="33"/>
  <c r="T20" i="33"/>
  <c r="K12" i="34"/>
  <c r="C12" i="34"/>
  <c r="Q21" i="33"/>
  <c r="AC20" i="33"/>
  <c r="AC19" i="33"/>
  <c r="AC21" i="33"/>
  <c r="AC28" i="33"/>
  <c r="I20" i="33"/>
  <c r="I28" i="33"/>
  <c r="I19" i="33"/>
  <c r="I21" i="33"/>
  <c r="K50" i="34"/>
  <c r="C50" i="34"/>
  <c r="K26" i="34"/>
  <c r="C26" i="34"/>
  <c r="X20" i="33"/>
  <c r="U21" i="33"/>
  <c r="U20" i="33"/>
  <c r="U19" i="33"/>
  <c r="K49" i="34"/>
  <c r="C48" i="34"/>
  <c r="K32" i="34"/>
  <c r="K33" i="34"/>
  <c r="C31" i="34"/>
  <c r="K22" i="34"/>
  <c r="C21" i="34"/>
  <c r="K41" i="34"/>
  <c r="O21" i="25"/>
  <c r="P20" i="25"/>
  <c r="K19" i="25"/>
  <c r="K20" i="25"/>
  <c r="K21" i="25"/>
  <c r="K28" i="25"/>
  <c r="AA19" i="25"/>
  <c r="T19" i="25"/>
  <c r="Y19" i="25"/>
  <c r="Q19" i="25"/>
  <c r="V28" i="25"/>
  <c r="M20" i="25"/>
  <c r="S19" i="25"/>
  <c r="AD28" i="25"/>
  <c r="L19" i="25"/>
  <c r="O19" i="33"/>
  <c r="O20" i="33"/>
  <c r="O21" i="33"/>
  <c r="R20" i="33"/>
  <c r="R19" i="33"/>
  <c r="O28" i="33"/>
  <c r="Q19" i="33"/>
  <c r="AB20" i="33"/>
  <c r="AB28" i="33"/>
  <c r="AA20" i="33"/>
  <c r="AB19" i="33"/>
  <c r="N21" i="33"/>
  <c r="N19" i="33"/>
  <c r="N20" i="33"/>
  <c r="N2" i="33"/>
  <c r="O10" i="33"/>
  <c r="O16" i="33"/>
  <c r="V21" i="25"/>
  <c r="O10" i="25"/>
  <c r="O16" i="25"/>
  <c r="O44" i="25"/>
  <c r="N6" i="25"/>
  <c r="K51" i="34"/>
  <c r="AD21" i="33"/>
  <c r="AD20" i="33"/>
  <c r="K27" i="34"/>
  <c r="K28" i="34"/>
  <c r="AD19" i="33"/>
  <c r="K13" i="34"/>
  <c r="K14" i="34"/>
  <c r="K23" i="34"/>
  <c r="K42" i="34"/>
  <c r="L21" i="25"/>
  <c r="L28" i="25"/>
  <c r="P19" i="25"/>
  <c r="M19" i="25"/>
  <c r="M28" i="25"/>
  <c r="L20" i="25"/>
  <c r="M21" i="25"/>
  <c r="Y28" i="25"/>
  <c r="AD20" i="25"/>
  <c r="S28" i="25"/>
  <c r="P21" i="25"/>
  <c r="P28" i="25"/>
  <c r="O20" i="25"/>
  <c r="O19" i="25"/>
  <c r="O28" i="25"/>
  <c r="S20" i="25"/>
  <c r="AA28" i="25"/>
  <c r="AA21" i="25"/>
  <c r="AA20" i="25"/>
  <c r="AC21" i="25"/>
  <c r="AC20" i="25"/>
  <c r="AC28" i="25"/>
  <c r="AC19" i="25"/>
  <c r="V19" i="25"/>
  <c r="V20" i="25"/>
  <c r="W28" i="25"/>
  <c r="W19" i="25"/>
  <c r="W20" i="25"/>
  <c r="W21" i="25"/>
  <c r="N20" i="25"/>
  <c r="N19" i="25"/>
  <c r="N21" i="25"/>
  <c r="N28" i="25"/>
  <c r="J28" i="25"/>
  <c r="J20" i="25"/>
  <c r="J46" i="25"/>
  <c r="J21" i="25"/>
  <c r="Q20" i="25"/>
  <c r="Q21" i="25"/>
  <c r="Q28" i="25"/>
  <c r="AB21" i="25"/>
  <c r="AB19" i="25"/>
  <c r="AB28" i="25"/>
  <c r="AB20" i="25"/>
  <c r="AD19" i="25"/>
  <c r="AD21" i="25"/>
  <c r="Y21" i="25"/>
  <c r="Y20" i="25"/>
  <c r="Z19" i="25"/>
  <c r="Z20" i="25"/>
  <c r="Z21" i="25"/>
  <c r="Z28" i="25"/>
  <c r="X20" i="25"/>
  <c r="X21" i="25"/>
  <c r="X28" i="25"/>
  <c r="X19" i="25"/>
  <c r="T20" i="25"/>
  <c r="T21" i="25"/>
  <c r="T28" i="25"/>
  <c r="J19" i="25"/>
  <c r="U20" i="25"/>
  <c r="U28" i="25"/>
  <c r="U19" i="25"/>
  <c r="U21" i="25"/>
  <c r="R20" i="25"/>
  <c r="R21" i="25"/>
  <c r="R28" i="25"/>
  <c r="R19" i="25"/>
  <c r="S21" i="25"/>
  <c r="K29" i="34"/>
  <c r="K15" i="34"/>
  <c r="K34" i="34"/>
  <c r="K24" i="34"/>
  <c r="P10" i="33"/>
  <c r="P16" i="33"/>
  <c r="O2" i="33"/>
  <c r="L46" i="25"/>
  <c r="O6" i="25"/>
  <c r="P10" i="25"/>
  <c r="P16" i="25"/>
  <c r="P44" i="25"/>
  <c r="K43" i="34"/>
  <c r="K25" i="34"/>
  <c r="R46" i="25"/>
  <c r="M46" i="25"/>
  <c r="T46" i="25"/>
  <c r="O46" i="25"/>
  <c r="N46" i="25"/>
  <c r="W47" i="25"/>
  <c r="W46" i="25"/>
  <c r="AE20" i="25"/>
  <c r="Z47" i="25"/>
  <c r="AA47" i="25"/>
  <c r="Y46" i="25"/>
  <c r="Z46" i="25"/>
  <c r="O47" i="25"/>
  <c r="AB47" i="25"/>
  <c r="AA46" i="25"/>
  <c r="Q46" i="25"/>
  <c r="Q47" i="25"/>
  <c r="AB46" i="25"/>
  <c r="S46" i="25"/>
  <c r="U47" i="25"/>
  <c r="Y47" i="25"/>
  <c r="AD47" i="25"/>
  <c r="AE21" i="25"/>
  <c r="AD46" i="25"/>
  <c r="U46" i="25"/>
  <c r="S47" i="25"/>
  <c r="L47" i="25"/>
  <c r="AC46" i="25"/>
  <c r="P46" i="25"/>
  <c r="N47" i="25"/>
  <c r="X47" i="25"/>
  <c r="M47" i="25"/>
  <c r="AC47" i="25"/>
  <c r="V47" i="25"/>
  <c r="P47" i="25"/>
  <c r="J47" i="25"/>
  <c r="R47" i="25"/>
  <c r="T47" i="25"/>
  <c r="K47" i="25"/>
  <c r="V46" i="25"/>
  <c r="X46" i="25"/>
  <c r="Y45" i="25"/>
  <c r="M45" i="25"/>
  <c r="O45" i="25"/>
  <c r="J45" i="25"/>
  <c r="AE19" i="25"/>
  <c r="AC45" i="25"/>
  <c r="AD45" i="25"/>
  <c r="W45" i="25"/>
  <c r="R45" i="25"/>
  <c r="L45" i="25"/>
  <c r="P45" i="25"/>
  <c r="Z45" i="25"/>
  <c r="T45" i="25"/>
  <c r="X45" i="25"/>
  <c r="K45" i="25"/>
  <c r="AB45" i="25"/>
  <c r="V45" i="25"/>
  <c r="S45" i="25"/>
  <c r="U45" i="25"/>
  <c r="Q45" i="25"/>
  <c r="AA45" i="25"/>
  <c r="N45" i="25"/>
  <c r="K46" i="25"/>
  <c r="K30" i="34"/>
  <c r="K16" i="34"/>
  <c r="P2" i="33"/>
  <c r="Q10" i="33"/>
  <c r="Q16" i="33"/>
  <c r="Q10" i="25"/>
  <c r="Q16" i="25"/>
  <c r="Q44" i="25"/>
  <c r="P6" i="25"/>
  <c r="K44" i="34"/>
  <c r="K17" i="34"/>
  <c r="R10" i="33"/>
  <c r="R16" i="33"/>
  <c r="Q2" i="33"/>
  <c r="Q6" i="25"/>
  <c r="R10" i="25"/>
  <c r="R16" i="25"/>
  <c r="R44" i="25"/>
  <c r="K18" i="34"/>
  <c r="S10" i="33"/>
  <c r="S16" i="33"/>
  <c r="R2" i="33"/>
  <c r="R6" i="25"/>
  <c r="S10" i="25"/>
  <c r="S16" i="25"/>
  <c r="S44" i="25"/>
  <c r="K19" i="34"/>
  <c r="T10" i="33"/>
  <c r="T16" i="33"/>
  <c r="S2" i="33"/>
  <c r="S6" i="25"/>
  <c r="T10" i="25"/>
  <c r="T16" i="25"/>
  <c r="T44" i="25"/>
  <c r="K20" i="34"/>
  <c r="U10" i="33"/>
  <c r="U16" i="33"/>
  <c r="T2" i="33"/>
  <c r="T6" i="25"/>
  <c r="U10" i="25"/>
  <c r="U16" i="25"/>
  <c r="U44" i="25"/>
  <c r="V10" i="33"/>
  <c r="V16" i="33"/>
  <c r="U2" i="33"/>
  <c r="V10" i="25"/>
  <c r="V16" i="25"/>
  <c r="V44" i="25"/>
  <c r="U6" i="25"/>
  <c r="W10" i="33"/>
  <c r="W16" i="33"/>
  <c r="V2" i="33"/>
  <c r="V6" i="25"/>
  <c r="W10" i="25"/>
  <c r="W16" i="25"/>
  <c r="W44" i="25"/>
  <c r="W2" i="33"/>
  <c r="X10" i="33"/>
  <c r="X16" i="33"/>
  <c r="X10" i="25"/>
  <c r="X16" i="25"/>
  <c r="X44" i="25"/>
  <c r="W6" i="25"/>
  <c r="X2" i="33"/>
  <c r="Y10" i="33"/>
  <c r="Y16" i="33"/>
  <c r="Y10" i="25"/>
  <c r="Y16" i="25"/>
  <c r="Y44" i="25"/>
  <c r="X6" i="25"/>
  <c r="Z10" i="33"/>
  <c r="Z16" i="33"/>
  <c r="Y2" i="33"/>
  <c r="Y6" i="25"/>
  <c r="Z10" i="25"/>
  <c r="Z16" i="25"/>
  <c r="Z44" i="25"/>
  <c r="AA10" i="33"/>
  <c r="AA16" i="33"/>
  <c r="Z2" i="33"/>
  <c r="Z6" i="25"/>
  <c r="AA10" i="25"/>
  <c r="AA16" i="25"/>
  <c r="AA44" i="25"/>
  <c r="AB10" i="33"/>
  <c r="AB16" i="33"/>
  <c r="AA2" i="33"/>
  <c r="AA6" i="25"/>
  <c r="AB10" i="25"/>
  <c r="AB16" i="25"/>
  <c r="AB44" i="25"/>
  <c r="AC10" i="33"/>
  <c r="AC16" i="33"/>
  <c r="V3" i="33"/>
  <c r="R3" i="33"/>
  <c r="J3" i="33"/>
  <c r="N3" i="33"/>
  <c r="O3" i="33"/>
  <c r="Q3" i="33"/>
  <c r="M3" i="33"/>
  <c r="S3" i="33"/>
  <c r="T3" i="33"/>
  <c r="L3" i="33"/>
  <c r="I3" i="33"/>
  <c r="G3" i="33"/>
  <c r="W3" i="33"/>
  <c r="H3" i="33"/>
  <c r="P3" i="33"/>
  <c r="K3" i="33"/>
  <c r="AA3" i="33"/>
  <c r="X3" i="33"/>
  <c r="Y3" i="33"/>
  <c r="Z3" i="33"/>
  <c r="U3" i="33"/>
  <c r="AB6" i="25"/>
  <c r="AC10" i="25"/>
  <c r="AC16" i="25"/>
  <c r="AC44" i="25"/>
  <c r="O11" i="33"/>
  <c r="O12" i="33"/>
  <c r="O13" i="33"/>
  <c r="S11" i="33"/>
  <c r="S12" i="33"/>
  <c r="S13" i="33"/>
  <c r="Y13" i="33"/>
  <c r="Y11" i="33"/>
  <c r="Y12" i="33"/>
  <c r="I12" i="33"/>
  <c r="I13" i="33"/>
  <c r="I11" i="33"/>
  <c r="AC11" i="33"/>
  <c r="AC12" i="33"/>
  <c r="AC13" i="33"/>
  <c r="R11" i="33"/>
  <c r="R12" i="33"/>
  <c r="R13" i="33"/>
  <c r="J11" i="33"/>
  <c r="J12" i="33"/>
  <c r="J13" i="33"/>
  <c r="W11" i="33"/>
  <c r="W12" i="33"/>
  <c r="W13" i="33"/>
  <c r="Q11" i="33"/>
  <c r="Q12" i="33"/>
  <c r="Q13" i="33"/>
  <c r="AB11" i="33"/>
  <c r="AB12" i="33"/>
  <c r="AB13" i="33"/>
  <c r="P12" i="33"/>
  <c r="P11" i="33"/>
  <c r="P13" i="33"/>
  <c r="AA11" i="33"/>
  <c r="AA12" i="33"/>
  <c r="AA13" i="33"/>
  <c r="K11" i="33"/>
  <c r="K12" i="33"/>
  <c r="K13" i="33"/>
  <c r="L11" i="33"/>
  <c r="L12" i="33"/>
  <c r="L13" i="33"/>
  <c r="Z11" i="33"/>
  <c r="Z12" i="33"/>
  <c r="Z13" i="33"/>
  <c r="N11" i="33"/>
  <c r="N12" i="33"/>
  <c r="N13" i="33"/>
  <c r="T11" i="33"/>
  <c r="T12" i="33"/>
  <c r="T13" i="33"/>
  <c r="V11" i="33"/>
  <c r="V12" i="33"/>
  <c r="V13" i="33"/>
  <c r="X12" i="33"/>
  <c r="X11" i="33"/>
  <c r="X13" i="33"/>
  <c r="M11" i="33"/>
  <c r="M12" i="33"/>
  <c r="M13" i="33"/>
  <c r="U11" i="33"/>
  <c r="U12" i="33"/>
  <c r="U13" i="33"/>
  <c r="AD10" i="25"/>
  <c r="AD16" i="25"/>
  <c r="AD44" i="25"/>
  <c r="L7" i="25"/>
  <c r="Q7" i="25"/>
  <c r="N7" i="25"/>
  <c r="R7" i="25"/>
  <c r="T7" i="25"/>
  <c r="AA7" i="25"/>
  <c r="U7" i="25"/>
  <c r="P7" i="25"/>
  <c r="Z7" i="25"/>
  <c r="J7" i="25"/>
  <c r="Y7" i="25"/>
  <c r="S7" i="25"/>
  <c r="X7" i="25"/>
  <c r="H7" i="25"/>
  <c r="I7" i="25"/>
  <c r="V7" i="25"/>
  <c r="O7" i="25"/>
  <c r="K7" i="25"/>
  <c r="M7" i="25"/>
  <c r="AB7" i="25"/>
  <c r="W7" i="25"/>
  <c r="W11" i="25"/>
  <c r="W12" i="25"/>
  <c r="W13" i="25"/>
  <c r="K13" i="25"/>
  <c r="K11" i="25"/>
  <c r="K12" i="25"/>
  <c r="Z13" i="25"/>
  <c r="Z12" i="25"/>
  <c r="Z11" i="25"/>
  <c r="U12" i="25"/>
  <c r="U11" i="25"/>
  <c r="U13" i="25"/>
  <c r="T13" i="25"/>
  <c r="T12" i="25"/>
  <c r="T11" i="25"/>
  <c r="Y11" i="25"/>
  <c r="Y13" i="25"/>
  <c r="Y12" i="25"/>
  <c r="O11" i="25"/>
  <c r="O12" i="25"/>
  <c r="O13" i="25"/>
  <c r="P13" i="25"/>
  <c r="P11" i="25"/>
  <c r="P12" i="25"/>
  <c r="J12" i="25"/>
  <c r="J13" i="25"/>
  <c r="J11" i="25"/>
  <c r="V11" i="25"/>
  <c r="V12" i="25"/>
  <c r="V13" i="25"/>
  <c r="AA13" i="25"/>
  <c r="AA12" i="25"/>
  <c r="AA11" i="25"/>
  <c r="L13" i="25"/>
  <c r="L11" i="25"/>
  <c r="L12" i="25"/>
  <c r="Q11" i="25"/>
  <c r="Q12" i="25"/>
  <c r="Q13" i="25"/>
  <c r="AB13" i="25"/>
  <c r="AB12" i="25"/>
  <c r="AB11" i="25"/>
  <c r="N12" i="25"/>
  <c r="N13" i="25"/>
  <c r="N11" i="25"/>
  <c r="AC12" i="25"/>
  <c r="AC13" i="25"/>
  <c r="AC11" i="25"/>
  <c r="AD12" i="25"/>
  <c r="AD11" i="25"/>
  <c r="AD13" i="25"/>
  <c r="M12" i="25"/>
  <c r="M13" i="25"/>
  <c r="M11" i="25"/>
  <c r="S13" i="25"/>
  <c r="S12" i="25"/>
  <c r="S11" i="25"/>
  <c r="X11" i="25"/>
  <c r="X13" i="25"/>
  <c r="X12" i="25"/>
  <c r="R12" i="25"/>
  <c r="R11" i="25"/>
  <c r="R13" i="25"/>
  <c r="I187" i="17"/>
  <c r="E18" i="17"/>
  <c r="H187" i="17"/>
  <c r="D18" i="17"/>
  <c r="G187" i="17"/>
  <c r="C18" i="17"/>
  <c r="I181" i="17"/>
  <c r="H181" i="17"/>
  <c r="G181" i="17"/>
  <c r="I175" i="17"/>
  <c r="H175" i="17"/>
  <c r="G175" i="17"/>
  <c r="I169" i="17"/>
  <c r="E11" i="17"/>
  <c r="H169" i="17"/>
  <c r="D11" i="17"/>
  <c r="G169" i="17"/>
  <c r="C11" i="17"/>
  <c r="C152" i="17"/>
  <c r="D152" i="17"/>
  <c r="B152" i="17"/>
  <c r="D158" i="17"/>
  <c r="I157" i="17"/>
  <c r="I158" i="17"/>
  <c r="I159" i="17"/>
  <c r="E7" i="17"/>
  <c r="C158" i="17"/>
  <c r="B158" i="17"/>
  <c r="G157" i="17"/>
  <c r="G158" i="17"/>
  <c r="G159" i="17"/>
  <c r="C7" i="17"/>
  <c r="I146" i="17"/>
  <c r="H146" i="17"/>
  <c r="G146" i="17"/>
  <c r="D146" i="17"/>
  <c r="D147" i="17"/>
  <c r="C146" i="17"/>
  <c r="C147" i="17"/>
  <c r="B146" i="17"/>
  <c r="B147" i="17"/>
  <c r="I130" i="17"/>
  <c r="H130" i="17"/>
  <c r="G130" i="17"/>
  <c r="D130" i="17"/>
  <c r="D131" i="17"/>
  <c r="C130" i="17"/>
  <c r="C131" i="17"/>
  <c r="B130" i="17"/>
  <c r="B131" i="17"/>
  <c r="I123" i="17"/>
  <c r="H123" i="17"/>
  <c r="G123" i="17"/>
  <c r="D123" i="17"/>
  <c r="D124" i="17"/>
  <c r="C123" i="17"/>
  <c r="C124" i="17"/>
  <c r="B123" i="17"/>
  <c r="B124" i="17"/>
  <c r="I106" i="17"/>
  <c r="H106" i="17"/>
  <c r="G106" i="17"/>
  <c r="D106" i="17"/>
  <c r="D107" i="17"/>
  <c r="C106" i="17"/>
  <c r="C107" i="17"/>
  <c r="B106" i="17"/>
  <c r="B107" i="17"/>
  <c r="I85" i="17"/>
  <c r="H85" i="17"/>
  <c r="G85" i="17"/>
  <c r="D85" i="17"/>
  <c r="D86" i="17"/>
  <c r="C85" i="17"/>
  <c r="C86" i="17"/>
  <c r="B85" i="17"/>
  <c r="B86" i="17"/>
  <c r="I67" i="17"/>
  <c r="H67" i="17"/>
  <c r="G67" i="17"/>
  <c r="D67" i="17"/>
  <c r="D68" i="17"/>
  <c r="C67" i="17"/>
  <c r="C68" i="17"/>
  <c r="B67" i="17"/>
  <c r="B68" i="17"/>
  <c r="D42" i="17"/>
  <c r="C42" i="17"/>
  <c r="B42" i="17"/>
  <c r="H157" i="17"/>
  <c r="H158" i="17"/>
  <c r="H159" i="17"/>
  <c r="D7" i="17"/>
  <c r="H86" i="17"/>
  <c r="H87" i="17"/>
  <c r="H147" i="17"/>
  <c r="H148" i="17"/>
  <c r="H149" i="17"/>
  <c r="D10" i="17"/>
  <c r="G124" i="17"/>
  <c r="G125" i="17"/>
  <c r="G126" i="17"/>
  <c r="C15" i="17"/>
  <c r="I131" i="17"/>
  <c r="I132" i="17"/>
  <c r="I133" i="17"/>
  <c r="E16" i="17"/>
  <c r="I86" i="17"/>
  <c r="I87" i="17"/>
  <c r="I88" i="17"/>
  <c r="E6" i="17"/>
  <c r="G131" i="17"/>
  <c r="G132" i="17"/>
  <c r="G133" i="17"/>
  <c r="C16" i="17"/>
  <c r="I147" i="17"/>
  <c r="I148" i="17"/>
  <c r="I149" i="17"/>
  <c r="E10" i="17"/>
  <c r="H131" i="17"/>
  <c r="H132" i="17"/>
  <c r="H133" i="17"/>
  <c r="D16" i="17"/>
  <c r="H107" i="17"/>
  <c r="H108" i="17"/>
  <c r="H109" i="17"/>
  <c r="D9" i="17"/>
  <c r="G86" i="17"/>
  <c r="G87" i="17"/>
  <c r="G88" i="17"/>
  <c r="C6" i="17"/>
  <c r="I107" i="17"/>
  <c r="I108" i="17"/>
  <c r="I109" i="17"/>
  <c r="E9" i="17"/>
  <c r="G147" i="17"/>
  <c r="G148" i="17"/>
  <c r="G149" i="17"/>
  <c r="C10" i="17"/>
  <c r="H124" i="17"/>
  <c r="H125" i="17"/>
  <c r="H126" i="17"/>
  <c r="D15" i="17"/>
  <c r="I124" i="17"/>
  <c r="I125" i="17"/>
  <c r="I126" i="17"/>
  <c r="E15" i="17"/>
  <c r="G107" i="17"/>
  <c r="G108" i="17"/>
  <c r="G109" i="17"/>
  <c r="C9" i="17"/>
  <c r="H68" i="17"/>
  <c r="I68" i="17"/>
  <c r="H88" i="17"/>
  <c r="D6" i="17"/>
  <c r="G68" i="17"/>
  <c r="G69" i="17"/>
  <c r="G70" i="17"/>
  <c r="C8" i="17"/>
  <c r="C3" i="17"/>
  <c r="I69" i="17"/>
  <c r="I70" i="17"/>
  <c r="E8" i="17"/>
  <c r="E3" i="17"/>
  <c r="H69" i="17"/>
  <c r="H70" i="17"/>
  <c r="D8" i="17"/>
  <c r="D3" i="17"/>
  <c r="AU41" i="2"/>
  <c r="AT41" i="2"/>
  <c r="AB207" i="2"/>
  <c r="AC207" i="2"/>
  <c r="AD207" i="2"/>
  <c r="AE207" i="2"/>
  <c r="AF207" i="2"/>
  <c r="AG207" i="2"/>
  <c r="AH207" i="2"/>
  <c r="AI207" i="2"/>
  <c r="AJ207" i="2"/>
  <c r="AK207" i="2"/>
  <c r="AL207" i="2"/>
  <c r="AM207" i="2"/>
  <c r="AN207" i="2"/>
  <c r="AO207" i="2"/>
  <c r="AP207" i="2"/>
  <c r="AQ207" i="2"/>
  <c r="AR207" i="2"/>
  <c r="AS207" i="2"/>
  <c r="AT207" i="2"/>
  <c r="AU207" i="2"/>
  <c r="AA207" i="2"/>
  <c r="AB205" i="2"/>
  <c r="AC205" i="2"/>
  <c r="AD205" i="2"/>
  <c r="AE205" i="2"/>
  <c r="AF205" i="2"/>
  <c r="AG205" i="2"/>
  <c r="AH205" i="2"/>
  <c r="AI205" i="2"/>
  <c r="AJ205" i="2"/>
  <c r="AK205" i="2"/>
  <c r="AL205" i="2"/>
  <c r="AM205" i="2"/>
  <c r="AN205" i="2"/>
  <c r="AO205" i="2"/>
  <c r="AP205" i="2"/>
  <c r="AQ205" i="2"/>
  <c r="AR205" i="2"/>
  <c r="AS205" i="2"/>
  <c r="AT205" i="2"/>
  <c r="AU205" i="2"/>
  <c r="AA205" i="2"/>
  <c r="AT199" i="2"/>
  <c r="AU199" i="2"/>
  <c r="AB199" i="2"/>
  <c r="AC199" i="2"/>
  <c r="AD199" i="2"/>
  <c r="AE199" i="2"/>
  <c r="AF199" i="2"/>
  <c r="AG199" i="2"/>
  <c r="AH199" i="2"/>
  <c r="AI199" i="2"/>
  <c r="AJ199" i="2"/>
  <c r="AK199" i="2"/>
  <c r="AL199" i="2"/>
  <c r="AM199" i="2"/>
  <c r="AN199" i="2"/>
  <c r="AO199" i="2"/>
  <c r="AP199" i="2"/>
  <c r="AQ199" i="2"/>
  <c r="AR199" i="2"/>
  <c r="AS199" i="2"/>
  <c r="AA199" i="2"/>
  <c r="AB197" i="2"/>
  <c r="AB34" i="2"/>
  <c r="AC197" i="2"/>
  <c r="AC34" i="2"/>
  <c r="AD197" i="2"/>
  <c r="AD34" i="2"/>
  <c r="AE197" i="2"/>
  <c r="AE34" i="2"/>
  <c r="AF197" i="2"/>
  <c r="AF34" i="2"/>
  <c r="AG197" i="2"/>
  <c r="AG34" i="2"/>
  <c r="AH197" i="2"/>
  <c r="AH34" i="2"/>
  <c r="AI197" i="2"/>
  <c r="AI34" i="2"/>
  <c r="AJ197" i="2"/>
  <c r="AJ34" i="2"/>
  <c r="AK197" i="2"/>
  <c r="AK34" i="2"/>
  <c r="AL197" i="2"/>
  <c r="AL34" i="2"/>
  <c r="AM197" i="2"/>
  <c r="AM34" i="2"/>
  <c r="AN197" i="2"/>
  <c r="AN34" i="2"/>
  <c r="AO197" i="2"/>
  <c r="AO34" i="2"/>
  <c r="AP197" i="2"/>
  <c r="AP34" i="2"/>
  <c r="AQ197" i="2"/>
  <c r="AQ34" i="2"/>
  <c r="AR197" i="2"/>
  <c r="AR34" i="2"/>
  <c r="AS197" i="2"/>
  <c r="AS34" i="2"/>
  <c r="AT197" i="2"/>
  <c r="AU197" i="2"/>
  <c r="AA197" i="2"/>
  <c r="AA34" i="2"/>
  <c r="AB182" i="2"/>
  <c r="AB191" i="2"/>
  <c r="AC182" i="2"/>
  <c r="AC191" i="2"/>
  <c r="AC188" i="2"/>
  <c r="AD182" i="2"/>
  <c r="AD191" i="2"/>
  <c r="AE182" i="2"/>
  <c r="AE191" i="2"/>
  <c r="AE187" i="2"/>
  <c r="AF182" i="2"/>
  <c r="AF191" i="2"/>
  <c r="AF190" i="2"/>
  <c r="AG182" i="2"/>
  <c r="AG191" i="2"/>
  <c r="AG186" i="2"/>
  <c r="AH182" i="2"/>
  <c r="AH191" i="2"/>
  <c r="AI182" i="2"/>
  <c r="AI191" i="2"/>
  <c r="AI189" i="2"/>
  <c r="AJ182" i="2"/>
  <c r="AJ191" i="2"/>
  <c r="AK182" i="2"/>
  <c r="AK191" i="2"/>
  <c r="AL182" i="2"/>
  <c r="AL191" i="2"/>
  <c r="AM182" i="2"/>
  <c r="AM191" i="2"/>
  <c r="AM187" i="2"/>
  <c r="AN182" i="2"/>
  <c r="AN191" i="2"/>
  <c r="AO182" i="2"/>
  <c r="AO191" i="2"/>
  <c r="AO190" i="2"/>
  <c r="AP182" i="2"/>
  <c r="AP191" i="2"/>
  <c r="AQ182" i="2"/>
  <c r="AQ191" i="2"/>
  <c r="AQ189" i="2"/>
  <c r="AR182" i="2"/>
  <c r="AR191" i="2"/>
  <c r="AR188" i="2"/>
  <c r="AR62" i="2"/>
  <c r="AS182" i="2"/>
  <c r="AS191" i="2"/>
  <c r="AS188" i="2"/>
  <c r="AT182" i="2"/>
  <c r="AT191" i="2"/>
  <c r="AU182" i="2"/>
  <c r="AU191" i="2"/>
  <c r="AA182" i="2"/>
  <c r="AA191" i="2"/>
  <c r="AA188" i="2"/>
  <c r="AA38" i="2"/>
  <c r="AA31" i="2"/>
  <c r="AR187" i="2"/>
  <c r="AP189" i="2"/>
  <c r="AP63" i="2"/>
  <c r="AP188" i="2"/>
  <c r="AH189" i="2"/>
  <c r="AH188" i="2"/>
  <c r="AH38" i="2"/>
  <c r="AR69" i="2"/>
  <c r="AR55" i="2"/>
  <c r="AN190" i="2"/>
  <c r="AN64" i="2"/>
  <c r="AN186" i="2"/>
  <c r="AN60" i="2"/>
  <c r="AT34" i="2"/>
  <c r="AU34" i="2"/>
  <c r="AA62" i="2"/>
  <c r="AA190" i="2"/>
  <c r="AA40" i="2"/>
  <c r="AA45" i="2"/>
  <c r="AA189" i="2"/>
  <c r="AA63" i="2"/>
  <c r="AF64" i="2"/>
  <c r="AF40" i="2"/>
  <c r="AR37" i="2"/>
  <c r="AR61" i="2"/>
  <c r="AC38" i="2"/>
  <c r="AC62" i="2"/>
  <c r="AG36" i="2"/>
  <c r="AG60" i="2"/>
  <c r="AS38" i="2"/>
  <c r="AS62" i="2"/>
  <c r="AO40" i="2"/>
  <c r="AO64" i="2"/>
  <c r="AL188" i="2"/>
  <c r="AL189" i="2"/>
  <c r="AL186" i="2"/>
  <c r="AL190" i="2"/>
  <c r="AL187" i="2"/>
  <c r="AD188" i="2"/>
  <c r="AD189" i="2"/>
  <c r="AD187" i="2"/>
  <c r="AD186" i="2"/>
  <c r="AD190" i="2"/>
  <c r="AF187" i="2"/>
  <c r="AF188" i="2"/>
  <c r="AF189" i="2"/>
  <c r="AF186" i="2"/>
  <c r="AK189" i="2"/>
  <c r="AK186" i="2"/>
  <c r="AK190" i="2"/>
  <c r="AK187" i="2"/>
  <c r="AM37" i="2"/>
  <c r="AM61" i="2"/>
  <c r="AJ189" i="2"/>
  <c r="AJ186" i="2"/>
  <c r="AJ190" i="2"/>
  <c r="AQ186" i="2"/>
  <c r="AQ190" i="2"/>
  <c r="AQ187" i="2"/>
  <c r="AQ188" i="2"/>
  <c r="AA187" i="2"/>
  <c r="AK188" i="2"/>
  <c r="AJ187" i="2"/>
  <c r="AR189" i="2"/>
  <c r="AR186" i="2"/>
  <c r="AR190" i="2"/>
  <c r="AB189" i="2"/>
  <c r="AB186" i="2"/>
  <c r="AB190" i="2"/>
  <c r="AQ39" i="2"/>
  <c r="AQ80" i="2"/>
  <c r="AQ63" i="2"/>
  <c r="AP186" i="2"/>
  <c r="AP190" i="2"/>
  <c r="AP187" i="2"/>
  <c r="AN189" i="2"/>
  <c r="AJ188" i="2"/>
  <c r="AE37" i="2"/>
  <c r="AE61" i="2"/>
  <c r="AR38" i="2"/>
  <c r="AS189" i="2"/>
  <c r="AS186" i="2"/>
  <c r="AS190" i="2"/>
  <c r="AS187" i="2"/>
  <c r="AO187" i="2"/>
  <c r="AO188" i="2"/>
  <c r="AO189" i="2"/>
  <c r="AI186" i="2"/>
  <c r="AI190" i="2"/>
  <c r="AI187" i="2"/>
  <c r="AI188" i="2"/>
  <c r="AB187" i="2"/>
  <c r="AC189" i="2"/>
  <c r="AC186" i="2"/>
  <c r="AC190" i="2"/>
  <c r="AC187" i="2"/>
  <c r="AG187" i="2"/>
  <c r="AG188" i="2"/>
  <c r="AG189" i="2"/>
  <c r="AN187" i="2"/>
  <c r="AN188" i="2"/>
  <c r="AI39" i="2"/>
  <c r="AI80" i="2"/>
  <c r="AI63" i="2"/>
  <c r="AM188" i="2"/>
  <c r="AM189" i="2"/>
  <c r="AM186" i="2"/>
  <c r="AM190" i="2"/>
  <c r="AE188" i="2"/>
  <c r="AE189" i="2"/>
  <c r="AE186" i="2"/>
  <c r="AE190" i="2"/>
  <c r="AH186" i="2"/>
  <c r="AH190" i="2"/>
  <c r="AH187" i="2"/>
  <c r="AG190" i="2"/>
  <c r="AB188" i="2"/>
  <c r="AO186" i="2"/>
  <c r="AU186" i="2"/>
  <c r="AU36" i="2"/>
  <c r="AU188" i="2"/>
  <c r="AU38" i="2"/>
  <c r="AU190" i="2"/>
  <c r="AU40" i="2"/>
  <c r="AU187" i="2"/>
  <c r="AU37" i="2"/>
  <c r="AU189" i="2"/>
  <c r="AU39" i="2"/>
  <c r="AU80" i="2"/>
  <c r="AT186" i="2"/>
  <c r="AT36" i="2"/>
  <c r="AT188" i="2"/>
  <c r="AT38" i="2"/>
  <c r="AT190" i="2"/>
  <c r="AT40" i="2"/>
  <c r="AT187" i="2"/>
  <c r="AT37" i="2"/>
  <c r="AT189" i="2"/>
  <c r="AT39" i="2"/>
  <c r="AT80" i="2"/>
  <c r="AN36" i="2"/>
  <c r="AN29" i="2"/>
  <c r="AH62" i="2"/>
  <c r="AH55" i="2"/>
  <c r="AA39" i="2"/>
  <c r="AA46" i="2"/>
  <c r="AN53" i="2"/>
  <c r="AN67" i="2"/>
  <c r="AP56" i="2"/>
  <c r="AP70" i="2"/>
  <c r="AM30" i="2"/>
  <c r="AM44" i="2"/>
  <c r="AR54" i="2"/>
  <c r="AR68" i="2"/>
  <c r="AP38" i="2"/>
  <c r="AP62" i="2"/>
  <c r="AG29" i="2"/>
  <c r="AG43" i="2"/>
  <c r="AR30" i="2"/>
  <c r="AR44" i="2"/>
  <c r="AC69" i="2"/>
  <c r="AC55" i="2"/>
  <c r="AF33" i="2"/>
  <c r="AF47" i="2"/>
  <c r="AG53" i="2"/>
  <c r="AG67" i="2"/>
  <c r="AO57" i="2"/>
  <c r="AO71" i="2"/>
  <c r="AF57" i="2"/>
  <c r="AF71" i="2"/>
  <c r="AO33" i="2"/>
  <c r="AO47" i="2"/>
  <c r="AI56" i="2"/>
  <c r="AI70" i="2"/>
  <c r="AR31" i="2"/>
  <c r="AR45" i="2"/>
  <c r="AQ56" i="2"/>
  <c r="AQ70" i="2"/>
  <c r="AN40" i="2"/>
  <c r="AC31" i="2"/>
  <c r="AC45" i="2"/>
  <c r="AQ32" i="2"/>
  <c r="AQ46" i="2"/>
  <c r="AS69" i="2"/>
  <c r="AS55" i="2"/>
  <c r="AP39" i="2"/>
  <c r="AP80" i="2"/>
  <c r="AH45" i="2"/>
  <c r="AH31" i="2"/>
  <c r="AN57" i="2"/>
  <c r="AN71" i="2"/>
  <c r="AI32" i="2"/>
  <c r="AI46" i="2"/>
  <c r="AE68" i="2"/>
  <c r="AE54" i="2"/>
  <c r="AE30" i="2"/>
  <c r="AE44" i="2"/>
  <c r="AM68" i="2"/>
  <c r="AM54" i="2"/>
  <c r="AS31" i="2"/>
  <c r="AS45" i="2"/>
  <c r="AH63" i="2"/>
  <c r="AH39" i="2"/>
  <c r="AH80" i="2"/>
  <c r="AA33" i="2"/>
  <c r="AA47" i="2"/>
  <c r="AA69" i="2"/>
  <c r="AA55" i="2"/>
  <c r="AU30" i="2"/>
  <c r="AU44" i="2"/>
  <c r="AT29" i="2"/>
  <c r="AT43" i="2"/>
  <c r="AU32" i="2"/>
  <c r="AU46" i="2"/>
  <c r="AU33" i="2"/>
  <c r="AU47" i="2"/>
  <c r="AT32" i="2"/>
  <c r="AT46" i="2"/>
  <c r="AU31" i="2"/>
  <c r="AU45" i="2"/>
  <c r="AU29" i="2"/>
  <c r="AU43" i="2"/>
  <c r="AA64" i="2"/>
  <c r="AA70" i="2"/>
  <c r="AA56" i="2"/>
  <c r="AT30" i="2"/>
  <c r="AT44" i="2"/>
  <c r="AT33" i="2"/>
  <c r="AT47" i="2"/>
  <c r="AT31" i="2"/>
  <c r="AT45" i="2"/>
  <c r="AB62" i="2"/>
  <c r="AB38" i="2"/>
  <c r="AC39" i="2"/>
  <c r="AC80" i="2"/>
  <c r="AC63" i="2"/>
  <c r="AB40" i="2"/>
  <c r="AB64" i="2"/>
  <c r="AJ36" i="2"/>
  <c r="AJ60" i="2"/>
  <c r="AG40" i="2"/>
  <c r="AG64" i="2"/>
  <c r="AM64" i="2"/>
  <c r="AM40" i="2"/>
  <c r="AN37" i="2"/>
  <c r="AN61" i="2"/>
  <c r="AB37" i="2"/>
  <c r="AB61" i="2"/>
  <c r="AS61" i="2"/>
  <c r="AS37" i="2"/>
  <c r="AJ62" i="2"/>
  <c r="AJ38" i="2"/>
  <c r="AB36" i="2"/>
  <c r="AB60" i="2"/>
  <c r="AK38" i="2"/>
  <c r="AK62" i="2"/>
  <c r="AJ39" i="2"/>
  <c r="AJ80" i="2"/>
  <c r="AJ63" i="2"/>
  <c r="AF39" i="2"/>
  <c r="AF80" i="2"/>
  <c r="AF63" i="2"/>
  <c r="AL61" i="2"/>
  <c r="AL37" i="2"/>
  <c r="AO36" i="2"/>
  <c r="AO60" i="2"/>
  <c r="AD39" i="2"/>
  <c r="AD80" i="2"/>
  <c r="AD63" i="2"/>
  <c r="AJ37" i="2"/>
  <c r="AJ61" i="2"/>
  <c r="AH37" i="2"/>
  <c r="AH61" i="2"/>
  <c r="AM60" i="2"/>
  <c r="AM36" i="2"/>
  <c r="AG63" i="2"/>
  <c r="AG39" i="2"/>
  <c r="AG80" i="2"/>
  <c r="AI62" i="2"/>
  <c r="AI38" i="2"/>
  <c r="AS64" i="2"/>
  <c r="AS40" i="2"/>
  <c r="AN39" i="2"/>
  <c r="AN80" i="2"/>
  <c r="AN63" i="2"/>
  <c r="AB39" i="2"/>
  <c r="AB80" i="2"/>
  <c r="AB63" i="2"/>
  <c r="AA37" i="2"/>
  <c r="AA30" i="2"/>
  <c r="AA61" i="2"/>
  <c r="AF38" i="2"/>
  <c r="AF62" i="2"/>
  <c r="AL40" i="2"/>
  <c r="AL64" i="2"/>
  <c r="AJ40" i="2"/>
  <c r="AJ64" i="2"/>
  <c r="AH40" i="2"/>
  <c r="AH64" i="2"/>
  <c r="AM63" i="2"/>
  <c r="AM39" i="2"/>
  <c r="AM80" i="2"/>
  <c r="AG62" i="2"/>
  <c r="AG38" i="2"/>
  <c r="AI61" i="2"/>
  <c r="AI37" i="2"/>
  <c r="AS60" i="2"/>
  <c r="AS36" i="2"/>
  <c r="AP37" i="2"/>
  <c r="AP61" i="2"/>
  <c r="AR40" i="2"/>
  <c r="AR64" i="2"/>
  <c r="AQ38" i="2"/>
  <c r="AQ62" i="2"/>
  <c r="AF37" i="2"/>
  <c r="AF61" i="2"/>
  <c r="AL36" i="2"/>
  <c r="AL60" i="2"/>
  <c r="AC60" i="2"/>
  <c r="AC36" i="2"/>
  <c r="AK39" i="2"/>
  <c r="AK80" i="2"/>
  <c r="AK63" i="2"/>
  <c r="AN38" i="2"/>
  <c r="AN62" i="2"/>
  <c r="AF60" i="2"/>
  <c r="AF36" i="2"/>
  <c r="AH36" i="2"/>
  <c r="AH60" i="2"/>
  <c r="AM38" i="2"/>
  <c r="AM62" i="2"/>
  <c r="AG37" i="2"/>
  <c r="AG61" i="2"/>
  <c r="AI40" i="2"/>
  <c r="AI64" i="2"/>
  <c r="AS39" i="2"/>
  <c r="AS80" i="2"/>
  <c r="AS63" i="2"/>
  <c r="AP40" i="2"/>
  <c r="AP64" i="2"/>
  <c r="AR36" i="2"/>
  <c r="AR60" i="2"/>
  <c r="AQ61" i="2"/>
  <c r="AQ37" i="2"/>
  <c r="AK37" i="2"/>
  <c r="AK61" i="2"/>
  <c r="AD40" i="2"/>
  <c r="AD64" i="2"/>
  <c r="AL39" i="2"/>
  <c r="AL80" i="2"/>
  <c r="AL63" i="2"/>
  <c r="AE63" i="2"/>
  <c r="AE39" i="2"/>
  <c r="AE80" i="2"/>
  <c r="AE64" i="2"/>
  <c r="AE40" i="2"/>
  <c r="AC37" i="2"/>
  <c r="AC61" i="2"/>
  <c r="AI36" i="2"/>
  <c r="AI60" i="2"/>
  <c r="AP36" i="2"/>
  <c r="AP60" i="2"/>
  <c r="AR39" i="2"/>
  <c r="AR80" i="2"/>
  <c r="AR63" i="2"/>
  <c r="AQ40" i="2"/>
  <c r="AQ64" i="2"/>
  <c r="AK64" i="2"/>
  <c r="AK40" i="2"/>
  <c r="AD36" i="2"/>
  <c r="AD60" i="2"/>
  <c r="AL38" i="2"/>
  <c r="AL62" i="2"/>
  <c r="AO62" i="2"/>
  <c r="AO38" i="2"/>
  <c r="AE38" i="2"/>
  <c r="AE62" i="2"/>
  <c r="AO37" i="2"/>
  <c r="AO61" i="2"/>
  <c r="AD38" i="2"/>
  <c r="AD62" i="2"/>
  <c r="AE36" i="2"/>
  <c r="AE60" i="2"/>
  <c r="AC64" i="2"/>
  <c r="AC40" i="2"/>
  <c r="AO39" i="2"/>
  <c r="AO80" i="2"/>
  <c r="AO63" i="2"/>
  <c r="AQ36" i="2"/>
  <c r="AQ60" i="2"/>
  <c r="AK60" i="2"/>
  <c r="AK36" i="2"/>
  <c r="AD61" i="2"/>
  <c r="AD37" i="2"/>
  <c r="AN43" i="2"/>
  <c r="AH69" i="2"/>
  <c r="AA32" i="2"/>
  <c r="AO70" i="2"/>
  <c r="AO56" i="2"/>
  <c r="AI71" i="2"/>
  <c r="AI57" i="2"/>
  <c r="AS33" i="2"/>
  <c r="AS47" i="2"/>
  <c r="AB57" i="2"/>
  <c r="AB71" i="2"/>
  <c r="AQ29" i="2"/>
  <c r="AQ43" i="2"/>
  <c r="AD31" i="2"/>
  <c r="AD45" i="2"/>
  <c r="AL31" i="2"/>
  <c r="AL45" i="2"/>
  <c r="AR32" i="2"/>
  <c r="AR46" i="2"/>
  <c r="AE57" i="2"/>
  <c r="AE71" i="2"/>
  <c r="AK30" i="2"/>
  <c r="AK44" i="2"/>
  <c r="AS32" i="2"/>
  <c r="AS46" i="2"/>
  <c r="AH29" i="2"/>
  <c r="AH43" i="2"/>
  <c r="AC67" i="2"/>
  <c r="AC53" i="2"/>
  <c r="AR33" i="2"/>
  <c r="AR47" i="2"/>
  <c r="AG55" i="2"/>
  <c r="AG69" i="2"/>
  <c r="AL33" i="2"/>
  <c r="AL47" i="2"/>
  <c r="AN32" i="2"/>
  <c r="AN46" i="2"/>
  <c r="AM53" i="2"/>
  <c r="AM67" i="2"/>
  <c r="AO29" i="2"/>
  <c r="AO43" i="2"/>
  <c r="AK31" i="2"/>
  <c r="AK45" i="2"/>
  <c r="AB30" i="2"/>
  <c r="AB44" i="2"/>
  <c r="AJ29" i="2"/>
  <c r="AJ43" i="2"/>
  <c r="AD53" i="2"/>
  <c r="AD67" i="2"/>
  <c r="AL53" i="2"/>
  <c r="AL67" i="2"/>
  <c r="AL30" i="2"/>
  <c r="AL44" i="2"/>
  <c r="AO30" i="2"/>
  <c r="AO44" i="2"/>
  <c r="AP29" i="2"/>
  <c r="AP43" i="2"/>
  <c r="AQ54" i="2"/>
  <c r="AQ68" i="2"/>
  <c r="AF53" i="2"/>
  <c r="AF67" i="2"/>
  <c r="AL29" i="2"/>
  <c r="AL43" i="2"/>
  <c r="AM70" i="2"/>
  <c r="AM56" i="2"/>
  <c r="AF31" i="2"/>
  <c r="AF45" i="2"/>
  <c r="AS71" i="2"/>
  <c r="AS57" i="2"/>
  <c r="AH30" i="2"/>
  <c r="AH44" i="2"/>
  <c r="AL68" i="2"/>
  <c r="AL54" i="2"/>
  <c r="AB29" i="2"/>
  <c r="AB43" i="2"/>
  <c r="AN30" i="2"/>
  <c r="AN44" i="2"/>
  <c r="AB33" i="2"/>
  <c r="AB47" i="2"/>
  <c r="AO68" i="2"/>
  <c r="AO54" i="2"/>
  <c r="AF29" i="2"/>
  <c r="AF43" i="2"/>
  <c r="AH54" i="2"/>
  <c r="AH68" i="2"/>
  <c r="AN68" i="2"/>
  <c r="AN54" i="2"/>
  <c r="AO32" i="2"/>
  <c r="AO46" i="2"/>
  <c r="AD29" i="2"/>
  <c r="AD43" i="2"/>
  <c r="AE70" i="2"/>
  <c r="AE56" i="2"/>
  <c r="AI33" i="2"/>
  <c r="AI47" i="2"/>
  <c r="AP30" i="2"/>
  <c r="AP44" i="2"/>
  <c r="AD30" i="2"/>
  <c r="AD44" i="2"/>
  <c r="AC33" i="2"/>
  <c r="AC47" i="2"/>
  <c r="AE55" i="2"/>
  <c r="AE69" i="2"/>
  <c r="AK33" i="2"/>
  <c r="AK47" i="2"/>
  <c r="AI67" i="2"/>
  <c r="AI53" i="2"/>
  <c r="AL70" i="2"/>
  <c r="AL56" i="2"/>
  <c r="AR67" i="2"/>
  <c r="AR53" i="2"/>
  <c r="AG68" i="2"/>
  <c r="AG54" i="2"/>
  <c r="AN55" i="2"/>
  <c r="AN69" i="2"/>
  <c r="AF54" i="2"/>
  <c r="AF68" i="2"/>
  <c r="AS29" i="2"/>
  <c r="AS43" i="2"/>
  <c r="AH71" i="2"/>
  <c r="AH57" i="2"/>
  <c r="AI31" i="2"/>
  <c r="AI45" i="2"/>
  <c r="AJ54" i="2"/>
  <c r="AJ68" i="2"/>
  <c r="AF70" i="2"/>
  <c r="AF56" i="2"/>
  <c r="AJ31" i="2"/>
  <c r="AJ45" i="2"/>
  <c r="AM33" i="2"/>
  <c r="AM47" i="2"/>
  <c r="AC56" i="2"/>
  <c r="AC70" i="2"/>
  <c r="AQ30" i="2"/>
  <c r="AQ44" i="2"/>
  <c r="AF55" i="2"/>
  <c r="AF69" i="2"/>
  <c r="AD68" i="2"/>
  <c r="AD54" i="2"/>
  <c r="AE31" i="2"/>
  <c r="AE45" i="2"/>
  <c r="AK71" i="2"/>
  <c r="AK57" i="2"/>
  <c r="AI29" i="2"/>
  <c r="AI43" i="2"/>
  <c r="AL32" i="2"/>
  <c r="AL46" i="2"/>
  <c r="AR29" i="2"/>
  <c r="AR43" i="2"/>
  <c r="AG30" i="2"/>
  <c r="AG44" i="2"/>
  <c r="AN31" i="2"/>
  <c r="AN45" i="2"/>
  <c r="AF30" i="2"/>
  <c r="AF44" i="2"/>
  <c r="AS67" i="2"/>
  <c r="AS53" i="2"/>
  <c r="AH33" i="2"/>
  <c r="AH47" i="2"/>
  <c r="AI69" i="2"/>
  <c r="AI55" i="2"/>
  <c r="AJ30" i="2"/>
  <c r="AJ44" i="2"/>
  <c r="AF32" i="2"/>
  <c r="AF46" i="2"/>
  <c r="AJ55" i="2"/>
  <c r="AJ69" i="2"/>
  <c r="AM57" i="2"/>
  <c r="AM71" i="2"/>
  <c r="AC32" i="2"/>
  <c r="AC46" i="2"/>
  <c r="AT48" i="2"/>
  <c r="AH32" i="2"/>
  <c r="AH46" i="2"/>
  <c r="AP32" i="2"/>
  <c r="AP46" i="2"/>
  <c r="AP54" i="2"/>
  <c r="AP68" i="2"/>
  <c r="AE53" i="2"/>
  <c r="AE67" i="2"/>
  <c r="AC54" i="2"/>
  <c r="AC68" i="2"/>
  <c r="AP71" i="2"/>
  <c r="AP57" i="2"/>
  <c r="AM55" i="2"/>
  <c r="AM69" i="2"/>
  <c r="AK56" i="2"/>
  <c r="AK70" i="2"/>
  <c r="AQ69" i="2"/>
  <c r="AQ55" i="2"/>
  <c r="AI30" i="2"/>
  <c r="AI44" i="2"/>
  <c r="AJ71" i="2"/>
  <c r="AJ57" i="2"/>
  <c r="AB56" i="2"/>
  <c r="AB70" i="2"/>
  <c r="AG32" i="2"/>
  <c r="AG46" i="2"/>
  <c r="AD70" i="2"/>
  <c r="AD56" i="2"/>
  <c r="AJ56" i="2"/>
  <c r="AJ70" i="2"/>
  <c r="AS30" i="2"/>
  <c r="AS44" i="2"/>
  <c r="AG57" i="2"/>
  <c r="AG71" i="2"/>
  <c r="AB31" i="2"/>
  <c r="AB45" i="2"/>
  <c r="AH56" i="2"/>
  <c r="AH70" i="2"/>
  <c r="AN33" i="2"/>
  <c r="AN47" i="2"/>
  <c r="AE32" i="2"/>
  <c r="AE46" i="2"/>
  <c r="AM32" i="2"/>
  <c r="AM46" i="2"/>
  <c r="AB53" i="2"/>
  <c r="AB67" i="2"/>
  <c r="AD57" i="2"/>
  <c r="AD71" i="2"/>
  <c r="AE29" i="2"/>
  <c r="AE43" i="2"/>
  <c r="AQ33" i="2"/>
  <c r="AQ47" i="2"/>
  <c r="AD33" i="2"/>
  <c r="AD47" i="2"/>
  <c r="AM31" i="2"/>
  <c r="AM45" i="2"/>
  <c r="AK32" i="2"/>
  <c r="AK46" i="2"/>
  <c r="AQ31" i="2"/>
  <c r="AQ45" i="2"/>
  <c r="AJ33" i="2"/>
  <c r="AJ47" i="2"/>
  <c r="AB32" i="2"/>
  <c r="AB46" i="2"/>
  <c r="AG70" i="2"/>
  <c r="AG56" i="2"/>
  <c r="AD32" i="2"/>
  <c r="AD46" i="2"/>
  <c r="AJ32" i="2"/>
  <c r="AJ46" i="2"/>
  <c r="AS54" i="2"/>
  <c r="AS68" i="2"/>
  <c r="AG33" i="2"/>
  <c r="AG47" i="2"/>
  <c r="AB69" i="2"/>
  <c r="AB55" i="2"/>
  <c r="AP69" i="2"/>
  <c r="AP55" i="2"/>
  <c r="AP67" i="2"/>
  <c r="AP53" i="2"/>
  <c r="AC71" i="2"/>
  <c r="AC57" i="2"/>
  <c r="AK29" i="2"/>
  <c r="AK43" i="2"/>
  <c r="AO31" i="2"/>
  <c r="AO45" i="2"/>
  <c r="AQ71" i="2"/>
  <c r="AQ57" i="2"/>
  <c r="AK67" i="2"/>
  <c r="AK53" i="2"/>
  <c r="AO55" i="2"/>
  <c r="AO69" i="2"/>
  <c r="AC30" i="2"/>
  <c r="AC44" i="2"/>
  <c r="AP33" i="2"/>
  <c r="AP47" i="2"/>
  <c r="AI54" i="2"/>
  <c r="AI68" i="2"/>
  <c r="AQ67" i="2"/>
  <c r="AQ53" i="2"/>
  <c r="AD55" i="2"/>
  <c r="AD69" i="2"/>
  <c r="AL55" i="2"/>
  <c r="AL69" i="2"/>
  <c r="AR70" i="2"/>
  <c r="AR56" i="2"/>
  <c r="AE33" i="2"/>
  <c r="AE47" i="2"/>
  <c r="AK54" i="2"/>
  <c r="AK68" i="2"/>
  <c r="AS56" i="2"/>
  <c r="AS70" i="2"/>
  <c r="AH67" i="2"/>
  <c r="AH53" i="2"/>
  <c r="AC29" i="2"/>
  <c r="AC43" i="2"/>
  <c r="AR71" i="2"/>
  <c r="AR57" i="2"/>
  <c r="AG31" i="2"/>
  <c r="AG45" i="2"/>
  <c r="AL57" i="2"/>
  <c r="AL71" i="2"/>
  <c r="AN70" i="2"/>
  <c r="AN56" i="2"/>
  <c r="AM29" i="2"/>
  <c r="AM43" i="2"/>
  <c r="AO53" i="2"/>
  <c r="AO67" i="2"/>
  <c r="AK69" i="2"/>
  <c r="AK55" i="2"/>
  <c r="AB68" i="2"/>
  <c r="AB54" i="2"/>
  <c r="AJ67" i="2"/>
  <c r="AJ53" i="2"/>
  <c r="AP31" i="2"/>
  <c r="AP45" i="2"/>
  <c r="AA44" i="2"/>
  <c r="AA71" i="2"/>
  <c r="AA57" i="2"/>
  <c r="AU48" i="2"/>
  <c r="AA68" i="2"/>
  <c r="AA54" i="2"/>
  <c r="AG48" i="2"/>
  <c r="AC48" i="2"/>
  <c r="AK48" i="2"/>
  <c r="AN48" i="2"/>
  <c r="AO48" i="2"/>
  <c r="AR48" i="2"/>
  <c r="AD48" i="2"/>
  <c r="AF48" i="2"/>
  <c r="AB48" i="2"/>
  <c r="AH48" i="2"/>
  <c r="AI48" i="2"/>
  <c r="AE48" i="2"/>
  <c r="AS48" i="2"/>
  <c r="AL48" i="2"/>
  <c r="AJ48" i="2"/>
  <c r="AP48" i="2"/>
  <c r="AQ48" i="2"/>
  <c r="AM48" i="2"/>
  <c r="C56" i="2"/>
  <c r="D56" i="2"/>
  <c r="E56" i="2"/>
  <c r="F56" i="2"/>
  <c r="G56" i="2"/>
  <c r="H56" i="2"/>
  <c r="I56" i="2"/>
  <c r="J56" i="2"/>
  <c r="K56" i="2"/>
  <c r="L56" i="2"/>
  <c r="M56" i="2"/>
  <c r="N56" i="2"/>
  <c r="O56" i="2"/>
  <c r="P56" i="2"/>
  <c r="Q56" i="2"/>
  <c r="R56" i="2"/>
  <c r="S56" i="2"/>
  <c r="T56" i="2"/>
  <c r="U56" i="2"/>
  <c r="U28" i="2"/>
  <c r="V56" i="2"/>
  <c r="C57" i="2"/>
  <c r="D57" i="2"/>
  <c r="E57" i="2"/>
  <c r="F57" i="2"/>
  <c r="G57" i="2"/>
  <c r="H57" i="2"/>
  <c r="H20" i="2"/>
  <c r="I57" i="2"/>
  <c r="J57" i="2"/>
  <c r="K57" i="2"/>
  <c r="L57" i="2"/>
  <c r="M57" i="2"/>
  <c r="M38" i="2"/>
  <c r="N57" i="2"/>
  <c r="O57" i="2"/>
  <c r="P57" i="2"/>
  <c r="Q57" i="2"/>
  <c r="R57" i="2"/>
  <c r="S57" i="2"/>
  <c r="T57" i="2"/>
  <c r="U57" i="2"/>
  <c r="V57" i="2"/>
  <c r="C58" i="2"/>
  <c r="D58" i="2"/>
  <c r="E58" i="2"/>
  <c r="F58" i="2"/>
  <c r="G58" i="2"/>
  <c r="H58" i="2"/>
  <c r="H21" i="2"/>
  <c r="I58" i="2"/>
  <c r="J58" i="2"/>
  <c r="K58" i="2"/>
  <c r="L58" i="2"/>
  <c r="M58" i="2"/>
  <c r="N58" i="2"/>
  <c r="O58" i="2"/>
  <c r="P58" i="2"/>
  <c r="Q58" i="2"/>
  <c r="R58" i="2"/>
  <c r="S58" i="2"/>
  <c r="T58" i="2"/>
  <c r="U58" i="2"/>
  <c r="V58" i="2"/>
  <c r="C59" i="2"/>
  <c r="D59" i="2"/>
  <c r="E59" i="2"/>
  <c r="F59" i="2"/>
  <c r="G59" i="2"/>
  <c r="H59" i="2"/>
  <c r="I59" i="2"/>
  <c r="J59" i="2"/>
  <c r="K59" i="2"/>
  <c r="L59" i="2"/>
  <c r="M59" i="2"/>
  <c r="N59" i="2"/>
  <c r="O59" i="2"/>
  <c r="P59" i="2"/>
  <c r="Q59" i="2"/>
  <c r="R59" i="2"/>
  <c r="S59" i="2"/>
  <c r="T59" i="2"/>
  <c r="U59" i="2"/>
  <c r="V59" i="2"/>
  <c r="C60" i="2"/>
  <c r="D60" i="2"/>
  <c r="D23" i="2"/>
  <c r="E60" i="2"/>
  <c r="G60" i="2"/>
  <c r="H60" i="2"/>
  <c r="I60" i="2"/>
  <c r="J60" i="2"/>
  <c r="K60" i="2"/>
  <c r="L60" i="2"/>
  <c r="M60" i="2"/>
  <c r="N60" i="2"/>
  <c r="O60" i="2"/>
  <c r="P60" i="2"/>
  <c r="Q60" i="2"/>
  <c r="R60" i="2"/>
  <c r="S60" i="2"/>
  <c r="T60" i="2"/>
  <c r="U60" i="2"/>
  <c r="V60" i="2"/>
  <c r="B57" i="2"/>
  <c r="B58" i="2"/>
  <c r="B59" i="2"/>
  <c r="B60" i="2"/>
  <c r="B56" i="2"/>
  <c r="B28" i="2"/>
  <c r="B19" i="2"/>
  <c r="B3" i="2"/>
  <c r="AA77" i="2"/>
  <c r="L41" i="2"/>
  <c r="L23" i="2"/>
  <c r="L32" i="2"/>
  <c r="L11" i="2"/>
  <c r="T39" i="2"/>
  <c r="T21" i="2"/>
  <c r="T30" i="2"/>
  <c r="H38" i="2"/>
  <c r="H29" i="2"/>
  <c r="H5" i="2"/>
  <c r="K41" i="2"/>
  <c r="K23" i="2"/>
  <c r="K32" i="2"/>
  <c r="K11" i="2"/>
  <c r="S39" i="2"/>
  <c r="S21" i="2"/>
  <c r="S30" i="2"/>
  <c r="S7" i="2"/>
  <c r="G38" i="2"/>
  <c r="G20" i="2"/>
  <c r="G29" i="2"/>
  <c r="G5" i="2"/>
  <c r="K37" i="2"/>
  <c r="K19" i="2"/>
  <c r="K28" i="2"/>
  <c r="V22" i="2"/>
  <c r="V31" i="2"/>
  <c r="V9" i="2"/>
  <c r="V40" i="2"/>
  <c r="R21" i="2"/>
  <c r="R30" i="2"/>
  <c r="R7" i="2"/>
  <c r="R39" i="2"/>
  <c r="J21" i="2"/>
  <c r="J30" i="2"/>
  <c r="J39" i="2"/>
  <c r="V20" i="2"/>
  <c r="V38" i="2"/>
  <c r="V29" i="2"/>
  <c r="N20" i="2"/>
  <c r="N29" i="2"/>
  <c r="N5" i="2"/>
  <c r="N38" i="2"/>
  <c r="F20" i="2"/>
  <c r="F29" i="2"/>
  <c r="F38" i="2"/>
  <c r="R19" i="2"/>
  <c r="R28" i="2"/>
  <c r="R37" i="2"/>
  <c r="J19" i="2"/>
  <c r="J28" i="2"/>
  <c r="J37" i="2"/>
  <c r="T41" i="2"/>
  <c r="T23" i="2"/>
  <c r="T32" i="2"/>
  <c r="D39" i="2"/>
  <c r="D21" i="2"/>
  <c r="D30" i="2"/>
  <c r="D7" i="2"/>
  <c r="L37" i="2"/>
  <c r="L19" i="2"/>
  <c r="L28" i="2"/>
  <c r="S41" i="2"/>
  <c r="S23" i="2"/>
  <c r="S32" i="2"/>
  <c r="C39" i="2"/>
  <c r="C21" i="2"/>
  <c r="C30" i="2"/>
  <c r="C7" i="2"/>
  <c r="F22" i="2"/>
  <c r="F31" i="2"/>
  <c r="F40" i="2"/>
  <c r="U40" i="2"/>
  <c r="U22" i="2"/>
  <c r="U31" i="2"/>
  <c r="I21" i="2"/>
  <c r="I39" i="2"/>
  <c r="I30" i="2"/>
  <c r="M29" i="2"/>
  <c r="M20" i="2"/>
  <c r="E29" i="2"/>
  <c r="E38" i="2"/>
  <c r="E20" i="2"/>
  <c r="E5" i="2"/>
  <c r="Q28" i="2"/>
  <c r="Q37" i="2"/>
  <c r="Q19" i="2"/>
  <c r="Q3" i="2"/>
  <c r="I28" i="2"/>
  <c r="I37" i="2"/>
  <c r="I19" i="2"/>
  <c r="L39" i="2"/>
  <c r="L21" i="2"/>
  <c r="L30" i="2"/>
  <c r="T37" i="2"/>
  <c r="T19" i="2"/>
  <c r="T28" i="2"/>
  <c r="K39" i="2"/>
  <c r="K21" i="2"/>
  <c r="K30" i="2"/>
  <c r="J23" i="2"/>
  <c r="J32" i="2"/>
  <c r="J11" i="2"/>
  <c r="J41" i="2"/>
  <c r="I41" i="2"/>
  <c r="I23" i="2"/>
  <c r="I32" i="2"/>
  <c r="I11" i="2"/>
  <c r="E40" i="2"/>
  <c r="E22" i="2"/>
  <c r="E31" i="2"/>
  <c r="D40" i="2"/>
  <c r="D31" i="2"/>
  <c r="D22" i="2"/>
  <c r="D9" i="2"/>
  <c r="H37" i="2"/>
  <c r="H19" i="2"/>
  <c r="H28" i="2"/>
  <c r="H40" i="2"/>
  <c r="H22" i="2"/>
  <c r="H31" i="2"/>
  <c r="H9" i="2"/>
  <c r="G40" i="2"/>
  <c r="G22" i="2"/>
  <c r="G31" i="2"/>
  <c r="B23" i="2"/>
  <c r="B41" i="2"/>
  <c r="B32" i="2"/>
  <c r="U20" i="2"/>
  <c r="U29" i="2"/>
  <c r="U5" i="2"/>
  <c r="U38" i="2"/>
  <c r="P41" i="2"/>
  <c r="P23" i="2"/>
  <c r="P32" i="2"/>
  <c r="P11" i="2"/>
  <c r="H41" i="2"/>
  <c r="H23" i="2"/>
  <c r="H32" i="2"/>
  <c r="P39" i="2"/>
  <c r="P30" i="2"/>
  <c r="P21" i="2"/>
  <c r="P7" i="2"/>
  <c r="L38" i="2"/>
  <c r="L20" i="2"/>
  <c r="L29" i="2"/>
  <c r="L5" i="2"/>
  <c r="P37" i="2"/>
  <c r="P19" i="2"/>
  <c r="P28" i="2"/>
  <c r="P3" i="2"/>
  <c r="B20" i="2"/>
  <c r="B29" i="2"/>
  <c r="B38" i="2"/>
  <c r="O23" i="2"/>
  <c r="O41" i="2"/>
  <c r="O32" i="2"/>
  <c r="G23" i="2"/>
  <c r="G32" i="2"/>
  <c r="G11" i="2"/>
  <c r="G41" i="2"/>
  <c r="S22" i="2"/>
  <c r="S31" i="2"/>
  <c r="S9" i="2"/>
  <c r="S40" i="2"/>
  <c r="K22" i="2"/>
  <c r="K40" i="2"/>
  <c r="K31" i="2"/>
  <c r="C22" i="2"/>
  <c r="C31" i="2"/>
  <c r="C9" i="2"/>
  <c r="C40" i="2"/>
  <c r="O21" i="2"/>
  <c r="O30" i="2"/>
  <c r="O7" i="2"/>
  <c r="O39" i="2"/>
  <c r="G21" i="2"/>
  <c r="G30" i="2"/>
  <c r="G7" i="2"/>
  <c r="G39" i="2"/>
  <c r="S20" i="2"/>
  <c r="S29" i="2"/>
  <c r="S38" i="2"/>
  <c r="K20" i="2"/>
  <c r="K29" i="2"/>
  <c r="K5" i="2"/>
  <c r="K38" i="2"/>
  <c r="C20" i="2"/>
  <c r="C29" i="2"/>
  <c r="C5" i="2"/>
  <c r="C38" i="2"/>
  <c r="O19" i="2"/>
  <c r="O28" i="2"/>
  <c r="O37" i="2"/>
  <c r="G19" i="2"/>
  <c r="G28" i="2"/>
  <c r="G37" i="2"/>
  <c r="P40" i="2"/>
  <c r="P22" i="2"/>
  <c r="P31" i="2"/>
  <c r="P38" i="2"/>
  <c r="P20" i="2"/>
  <c r="P29" i="2"/>
  <c r="P5" i="2"/>
  <c r="B37" i="2"/>
  <c r="O40" i="2"/>
  <c r="O22" i="2"/>
  <c r="O31" i="2"/>
  <c r="O9" i="2"/>
  <c r="O38" i="2"/>
  <c r="O20" i="2"/>
  <c r="O29" i="2"/>
  <c r="O5" i="2"/>
  <c r="S37" i="2"/>
  <c r="S19" i="2"/>
  <c r="S28" i="2"/>
  <c r="R23" i="2"/>
  <c r="R32" i="2"/>
  <c r="R11" i="2"/>
  <c r="R41" i="2"/>
  <c r="Q41" i="2"/>
  <c r="Q23" i="2"/>
  <c r="Q32" i="2"/>
  <c r="Q11" i="2"/>
  <c r="Q21" i="2"/>
  <c r="Q30" i="2"/>
  <c r="Q7" i="2"/>
  <c r="Q39" i="2"/>
  <c r="T40" i="2"/>
  <c r="T22" i="2"/>
  <c r="T31" i="2"/>
  <c r="H39" i="2"/>
  <c r="H30" i="2"/>
  <c r="H7" i="2"/>
  <c r="D38" i="2"/>
  <c r="D20" i="2"/>
  <c r="D29" i="2"/>
  <c r="D5" i="2"/>
  <c r="N41" i="2"/>
  <c r="N23" i="2"/>
  <c r="N32" i="2"/>
  <c r="R40" i="2"/>
  <c r="R22" i="2"/>
  <c r="R31" i="2"/>
  <c r="J40" i="2"/>
  <c r="J22" i="2"/>
  <c r="J31" i="2"/>
  <c r="V39" i="2"/>
  <c r="V30" i="2"/>
  <c r="V21" i="2"/>
  <c r="N39" i="2"/>
  <c r="N21" i="2"/>
  <c r="N30" i="2"/>
  <c r="F39" i="2"/>
  <c r="F21" i="2"/>
  <c r="F30" i="2"/>
  <c r="R38" i="2"/>
  <c r="R29" i="2"/>
  <c r="R20" i="2"/>
  <c r="J38" i="2"/>
  <c r="J29" i="2"/>
  <c r="J20" i="2"/>
  <c r="V37" i="2"/>
  <c r="V28" i="2"/>
  <c r="V19" i="2"/>
  <c r="N37" i="2"/>
  <c r="N28" i="2"/>
  <c r="N19" i="2"/>
  <c r="F37" i="2"/>
  <c r="F28" i="2"/>
  <c r="F19" i="2"/>
  <c r="D41" i="2"/>
  <c r="D32" i="2"/>
  <c r="D11" i="2"/>
  <c r="D37" i="2"/>
  <c r="D19" i="2"/>
  <c r="D28" i="2"/>
  <c r="C41" i="2"/>
  <c r="C23" i="2"/>
  <c r="C32" i="2"/>
  <c r="C37" i="2"/>
  <c r="C19" i="2"/>
  <c r="C28" i="2"/>
  <c r="N22" i="2"/>
  <c r="N31" i="2"/>
  <c r="N40" i="2"/>
  <c r="B31" i="2"/>
  <c r="B40" i="2"/>
  <c r="B22" i="2"/>
  <c r="M40" i="2"/>
  <c r="M22" i="2"/>
  <c r="M31" i="2"/>
  <c r="B39" i="2"/>
  <c r="B21" i="2"/>
  <c r="B30" i="2"/>
  <c r="L40" i="2"/>
  <c r="L22" i="2"/>
  <c r="L31" i="2"/>
  <c r="L9" i="2"/>
  <c r="T38" i="2"/>
  <c r="T20" i="2"/>
  <c r="T29" i="2"/>
  <c r="V41" i="2"/>
  <c r="V23" i="2"/>
  <c r="V32" i="2"/>
  <c r="F41" i="2"/>
  <c r="F32" i="2"/>
  <c r="F11" i="2"/>
  <c r="U41" i="2"/>
  <c r="U23" i="2"/>
  <c r="U32" i="2"/>
  <c r="M41" i="2"/>
  <c r="M23" i="2"/>
  <c r="M32" i="2"/>
  <c r="E41" i="2"/>
  <c r="E23" i="2"/>
  <c r="E32" i="2"/>
  <c r="Q40" i="2"/>
  <c r="Q22" i="2"/>
  <c r="Q31" i="2"/>
  <c r="Q9" i="2"/>
  <c r="I40" i="2"/>
  <c r="I22" i="2"/>
  <c r="I31" i="2"/>
  <c r="U39" i="2"/>
  <c r="U21" i="2"/>
  <c r="U30" i="2"/>
  <c r="M39" i="2"/>
  <c r="M21" i="2"/>
  <c r="M30" i="2"/>
  <c r="E39" i="2"/>
  <c r="E21" i="2"/>
  <c r="E30" i="2"/>
  <c r="E7" i="2"/>
  <c r="Q38" i="2"/>
  <c r="Q20" i="2"/>
  <c r="Q29" i="2"/>
  <c r="I38" i="2"/>
  <c r="I20" i="2"/>
  <c r="I29" i="2"/>
  <c r="U37" i="2"/>
  <c r="U19" i="2"/>
  <c r="U3" i="2"/>
  <c r="M37" i="2"/>
  <c r="M19" i="2"/>
  <c r="M28" i="2"/>
  <c r="E37" i="2"/>
  <c r="E19" i="2"/>
  <c r="E28" i="2"/>
  <c r="M3" i="2"/>
  <c r="U11" i="2"/>
  <c r="N9" i="2"/>
  <c r="V7" i="2"/>
  <c r="I9" i="2"/>
  <c r="N7" i="2"/>
  <c r="U9" i="2"/>
  <c r="Q5" i="2"/>
  <c r="T5" i="2"/>
  <c r="D3" i="2"/>
  <c r="N11" i="2"/>
  <c r="F3" i="2"/>
  <c r="R5" i="2"/>
  <c r="R9" i="2"/>
  <c r="I5" i="2"/>
  <c r="F7" i="2"/>
  <c r="O3" i="2"/>
  <c r="G9" i="2"/>
  <c r="H10" i="2"/>
  <c r="T3" i="2"/>
  <c r="F9" i="2"/>
  <c r="L3" i="2"/>
  <c r="F5" i="2"/>
  <c r="F6" i="2"/>
  <c r="T7" i="2"/>
  <c r="C11" i="2"/>
  <c r="M7" i="2"/>
  <c r="B7" i="2"/>
  <c r="AA79" i="2"/>
  <c r="J5" i="2"/>
  <c r="J9" i="2"/>
  <c r="P9" i="2"/>
  <c r="S5" i="2"/>
  <c r="B5" i="2"/>
  <c r="J7" i="2"/>
  <c r="K3" i="2"/>
  <c r="M11" i="2"/>
  <c r="N12" i="2"/>
  <c r="T9" i="2"/>
  <c r="T10" i="2"/>
  <c r="I7" i="2"/>
  <c r="J3" i="2"/>
  <c r="N3" i="2"/>
  <c r="O4" i="2"/>
  <c r="G12" i="2"/>
  <c r="L7" i="2"/>
  <c r="E3" i="2"/>
  <c r="M9" i="2"/>
  <c r="S3" i="2"/>
  <c r="H11" i="2"/>
  <c r="E9" i="2"/>
  <c r="E11" i="2"/>
  <c r="E13" i="2"/>
  <c r="C3" i="2"/>
  <c r="G3" i="2"/>
  <c r="K9" i="2"/>
  <c r="K7" i="2"/>
  <c r="K8" i="2"/>
  <c r="I3" i="2"/>
  <c r="S11" i="2"/>
  <c r="R3" i="2"/>
  <c r="V11" i="2"/>
  <c r="B11" i="2"/>
  <c r="X16" i="37"/>
  <c r="U7" i="2"/>
  <c r="B9" i="2"/>
  <c r="AA80" i="2"/>
  <c r="V3" i="2"/>
  <c r="O11" i="2"/>
  <c r="O12" i="2"/>
  <c r="AA81" i="2"/>
  <c r="H3" i="2"/>
  <c r="M5" i="2"/>
  <c r="T11" i="2"/>
  <c r="T13" i="2"/>
  <c r="V5" i="2"/>
  <c r="I9" i="34"/>
  <c r="G24" i="34"/>
  <c r="H24" i="34"/>
  <c r="G47" i="34"/>
  <c r="H47" i="34"/>
  <c r="G51" i="34"/>
  <c r="H51" i="34"/>
  <c r="G32" i="34"/>
  <c r="H32" i="34"/>
  <c r="G34" i="34"/>
  <c r="H34" i="34"/>
  <c r="G28" i="34"/>
  <c r="H28" i="34"/>
  <c r="G46" i="34"/>
  <c r="H46" i="34"/>
  <c r="G14" i="34"/>
  <c r="H14" i="34"/>
  <c r="G18" i="34"/>
  <c r="H18" i="34"/>
  <c r="X56" i="37"/>
  <c r="X15" i="37"/>
  <c r="I9" i="20"/>
  <c r="H65" i="20"/>
  <c r="X12" i="37"/>
  <c r="I10" i="2"/>
  <c r="AA78" i="2"/>
  <c r="I8" i="34"/>
  <c r="X55" i="37"/>
  <c r="AU79" i="2"/>
  <c r="X54" i="37"/>
  <c r="I8" i="20"/>
  <c r="I12" i="2"/>
  <c r="H12" i="2"/>
  <c r="M12" i="2"/>
  <c r="Q8" i="2"/>
  <c r="H68" i="20"/>
  <c r="H69" i="20"/>
  <c r="H67" i="20"/>
  <c r="H47" i="20"/>
  <c r="E8" i="2"/>
  <c r="O6" i="2"/>
  <c r="X53" i="37"/>
  <c r="Q12" i="2"/>
  <c r="M8" i="2"/>
  <c r="H8" i="2"/>
  <c r="F10" i="2"/>
  <c r="T8" i="2"/>
  <c r="Q10" i="2"/>
  <c r="Q6" i="2"/>
  <c r="L10" i="2"/>
  <c r="I6" i="2"/>
  <c r="C12" i="2"/>
  <c r="U8" i="2"/>
  <c r="R6" i="2"/>
  <c r="C6" i="2"/>
  <c r="O8" i="2"/>
  <c r="T6" i="2"/>
  <c r="M4" i="2"/>
  <c r="E4" i="2"/>
  <c r="N10" i="2"/>
  <c r="D13" i="2"/>
  <c r="D4" i="2"/>
  <c r="N4" i="2"/>
  <c r="N8" i="2"/>
  <c r="P6" i="2"/>
  <c r="K6" i="2"/>
  <c r="C10" i="2"/>
  <c r="L6" i="2"/>
  <c r="H4" i="2"/>
  <c r="H13" i="2"/>
  <c r="M6" i="2"/>
  <c r="S12" i="2"/>
  <c r="R13" i="2"/>
  <c r="R4" i="2"/>
  <c r="J8" i="2"/>
  <c r="K4" i="2"/>
  <c r="H6" i="2"/>
  <c r="P4" i="2"/>
  <c r="P13" i="2"/>
  <c r="U6" i="2"/>
  <c r="J12" i="2"/>
  <c r="E6" i="2"/>
  <c r="I8" i="2"/>
  <c r="J4" i="2"/>
  <c r="J13" i="2"/>
  <c r="V6" i="2"/>
  <c r="K12" i="2"/>
  <c r="F4" i="2"/>
  <c r="F8" i="2"/>
  <c r="R10" i="2"/>
  <c r="S4" i="2"/>
  <c r="U13" i="2"/>
  <c r="U4" i="2"/>
  <c r="C4" i="2"/>
  <c r="C13" i="2"/>
  <c r="J6" i="2"/>
  <c r="V8" i="2"/>
  <c r="J10" i="2"/>
  <c r="G8" i="2"/>
  <c r="S10" i="2"/>
  <c r="P8" i="2"/>
  <c r="D10" i="2"/>
  <c r="E10" i="2"/>
  <c r="T4" i="2"/>
  <c r="Q4" i="2"/>
  <c r="Q13" i="2"/>
  <c r="D8" i="2"/>
  <c r="N6" i="2"/>
  <c r="V10" i="2"/>
  <c r="S8" i="2"/>
  <c r="L12" i="2"/>
  <c r="D12" i="2"/>
  <c r="V4" i="2"/>
  <c r="D6" i="2"/>
  <c r="R12" i="2"/>
  <c r="O10" i="2"/>
  <c r="P10" i="2"/>
  <c r="G4" i="2"/>
  <c r="S6" i="2"/>
  <c r="K10" i="2"/>
  <c r="I4" i="2"/>
  <c r="I13" i="2"/>
  <c r="U10" i="2"/>
  <c r="L4" i="2"/>
  <c r="L13" i="2"/>
  <c r="R8" i="2"/>
  <c r="G6" i="2"/>
  <c r="AA90" i="2"/>
  <c r="AB90" i="2"/>
  <c r="AA91" i="2"/>
  <c r="AB91" i="2"/>
  <c r="AC91" i="2"/>
  <c r="AD91" i="2"/>
  <c r="AE91" i="2"/>
  <c r="AF91" i="2"/>
  <c r="AG91" i="2"/>
  <c r="AH91" i="2"/>
  <c r="AI91" i="2"/>
  <c r="AJ91" i="2"/>
  <c r="AK91" i="2"/>
  <c r="AL91" i="2"/>
  <c r="AM91" i="2"/>
  <c r="AN91" i="2"/>
  <c r="AO91" i="2"/>
  <c r="AP91" i="2"/>
  <c r="AQ91" i="2"/>
  <c r="AR91" i="2"/>
  <c r="AS91" i="2"/>
  <c r="AT91" i="2"/>
  <c r="AU91" i="2"/>
  <c r="U29" i="12"/>
  <c r="U30" i="12"/>
  <c r="U31" i="12"/>
  <c r="U32" i="12"/>
  <c r="U33" i="12"/>
  <c r="U34" i="12"/>
  <c r="U35" i="12"/>
  <c r="U36" i="12"/>
  <c r="U37" i="12"/>
  <c r="U38" i="12"/>
  <c r="U39" i="12"/>
  <c r="U28" i="12"/>
  <c r="H70" i="20"/>
  <c r="H50" i="20"/>
  <c r="G13" i="34"/>
  <c r="H13" i="34"/>
  <c r="G29" i="34"/>
  <c r="H29" i="34"/>
  <c r="G36" i="34"/>
  <c r="H36" i="34"/>
  <c r="G40" i="34"/>
  <c r="H40" i="34"/>
  <c r="G43" i="34"/>
  <c r="H43" i="34"/>
  <c r="H43" i="20"/>
  <c r="H55" i="20"/>
  <c r="H59" i="20"/>
  <c r="X13" i="37"/>
  <c r="G17" i="34"/>
  <c r="H17" i="34"/>
  <c r="G39" i="34"/>
  <c r="H39" i="34"/>
  <c r="G33" i="34"/>
  <c r="H33" i="34"/>
  <c r="G42" i="34"/>
  <c r="H42" i="34"/>
  <c r="I32" i="34"/>
  <c r="M13" i="2"/>
  <c r="H41" i="20"/>
  <c r="H42" i="20"/>
  <c r="I42" i="20"/>
  <c r="H66" i="20"/>
  <c r="G44" i="34"/>
  <c r="H44" i="34"/>
  <c r="G16" i="34"/>
  <c r="H16" i="34"/>
  <c r="G27" i="34"/>
  <c r="H27" i="34"/>
  <c r="G30" i="34"/>
  <c r="H30" i="34"/>
  <c r="G38" i="34"/>
  <c r="H38" i="34"/>
  <c r="G19" i="34"/>
  <c r="H19" i="34"/>
  <c r="G20" i="34"/>
  <c r="H20" i="34"/>
  <c r="H71" i="20"/>
  <c r="G37" i="34"/>
  <c r="H37" i="34"/>
  <c r="G15" i="34"/>
  <c r="H15" i="34"/>
  <c r="G41" i="34"/>
  <c r="H41" i="34"/>
  <c r="G49" i="34"/>
  <c r="H49" i="34"/>
  <c r="G25" i="34"/>
  <c r="H25" i="34"/>
  <c r="G23" i="34"/>
  <c r="H23" i="34"/>
  <c r="N13" i="2"/>
  <c r="N14" i="2"/>
  <c r="P12" i="2"/>
  <c r="M10" i="2"/>
  <c r="O13" i="2"/>
  <c r="K13" i="2"/>
  <c r="K14" i="2"/>
  <c r="T12" i="2"/>
  <c r="V12" i="2"/>
  <c r="U12" i="2"/>
  <c r="V13" i="2"/>
  <c r="X58" i="37"/>
  <c r="G10" i="2"/>
  <c r="AA89" i="2"/>
  <c r="AB89" i="2"/>
  <c r="AC89" i="2"/>
  <c r="AD89" i="2"/>
  <c r="AE89" i="2"/>
  <c r="AF89" i="2"/>
  <c r="AG89" i="2"/>
  <c r="AH89" i="2"/>
  <c r="AI89" i="2"/>
  <c r="AJ89" i="2"/>
  <c r="AK89" i="2"/>
  <c r="AL89" i="2"/>
  <c r="AM89" i="2"/>
  <c r="AN89" i="2"/>
  <c r="AO89" i="2"/>
  <c r="AP89" i="2"/>
  <c r="AQ89" i="2"/>
  <c r="AR89" i="2"/>
  <c r="AS89" i="2"/>
  <c r="AT89" i="2"/>
  <c r="AU89" i="2"/>
  <c r="G13" i="2"/>
  <c r="H14" i="2"/>
  <c r="E12" i="2"/>
  <c r="F13" i="2"/>
  <c r="F14" i="2"/>
  <c r="B13" i="2"/>
  <c r="X57" i="37"/>
  <c r="F12" i="2"/>
  <c r="C8" i="2"/>
  <c r="L8" i="2"/>
  <c r="G18" i="20"/>
  <c r="X14" i="37"/>
  <c r="B67" i="2"/>
  <c r="AA82" i="2"/>
  <c r="S13" i="2"/>
  <c r="T14" i="2"/>
  <c r="G22" i="34"/>
  <c r="H22" i="34"/>
  <c r="AU81" i="2"/>
  <c r="H72" i="20"/>
  <c r="H52" i="20"/>
  <c r="I52" i="20"/>
  <c r="H56" i="20"/>
  <c r="I56" i="20"/>
  <c r="H58" i="20"/>
  <c r="I58" i="20"/>
  <c r="H60" i="20"/>
  <c r="I60" i="20"/>
  <c r="G30" i="20"/>
  <c r="H64" i="20"/>
  <c r="I64" i="20"/>
  <c r="G29" i="20"/>
  <c r="G13" i="20"/>
  <c r="H13" i="20"/>
  <c r="H40" i="20"/>
  <c r="I40" i="20"/>
  <c r="H45" i="20"/>
  <c r="I45" i="20"/>
  <c r="H54" i="20"/>
  <c r="I54" i="20"/>
  <c r="H44" i="20"/>
  <c r="I44" i="20"/>
  <c r="H48" i="20"/>
  <c r="H57" i="20"/>
  <c r="I57" i="20"/>
  <c r="H62" i="20"/>
  <c r="I62" i="20"/>
  <c r="I25" i="34"/>
  <c r="I43" i="34"/>
  <c r="I51" i="34"/>
  <c r="I50" i="34"/>
  <c r="I44" i="34"/>
  <c r="I47" i="34"/>
  <c r="I13" i="34"/>
  <c r="AC90" i="2"/>
  <c r="G15" i="20"/>
  <c r="H15" i="20"/>
  <c r="I15" i="20"/>
  <c r="G20" i="20"/>
  <c r="G26" i="20"/>
  <c r="G24" i="20"/>
  <c r="G36" i="20"/>
  <c r="G27" i="20"/>
  <c r="G38" i="20"/>
  <c r="G34" i="20"/>
  <c r="G16" i="20"/>
  <c r="G19" i="20"/>
  <c r="G23" i="20"/>
  <c r="G32" i="20"/>
  <c r="G25" i="20"/>
  <c r="G39" i="20"/>
  <c r="G33" i="20"/>
  <c r="H73" i="20"/>
  <c r="I73" i="20"/>
  <c r="G28" i="20"/>
  <c r="G31" i="20"/>
  <c r="G21" i="20"/>
  <c r="G37" i="20"/>
  <c r="G14" i="20"/>
  <c r="I38" i="34"/>
  <c r="I42" i="34"/>
  <c r="I34" i="34"/>
  <c r="I19" i="34"/>
  <c r="I15" i="34"/>
  <c r="I37" i="34"/>
  <c r="I30" i="34"/>
  <c r="I39" i="34"/>
  <c r="I36" i="34"/>
  <c r="I28" i="34"/>
  <c r="I24" i="34"/>
  <c r="I18" i="34"/>
  <c r="I14" i="34"/>
  <c r="I46" i="34"/>
  <c r="I40" i="34"/>
  <c r="I29" i="34"/>
  <c r="I23" i="34"/>
  <c r="I17" i="34"/>
  <c r="I33" i="34"/>
  <c r="I16" i="34"/>
  <c r="G49" i="20"/>
  <c r="I14" i="2"/>
  <c r="C14" i="2"/>
  <c r="S14" i="2"/>
  <c r="E14" i="2"/>
  <c r="V13" i="37"/>
  <c r="Q14" i="2"/>
  <c r="V12" i="37"/>
  <c r="U14" i="2"/>
  <c r="J14" i="2"/>
  <c r="R14" i="2"/>
  <c r="D14" i="2"/>
  <c r="M14" i="2"/>
  <c r="G61" i="20"/>
  <c r="I65" i="20"/>
  <c r="I68" i="20"/>
  <c r="I70" i="20"/>
  <c r="I41" i="20"/>
  <c r="I69" i="20"/>
  <c r="G63" i="20"/>
  <c r="I66" i="20"/>
  <c r="G46" i="20"/>
  <c r="I43" i="20"/>
  <c r="I50" i="20"/>
  <c r="I47" i="20"/>
  <c r="I72" i="20"/>
  <c r="I59" i="20"/>
  <c r="I71" i="20"/>
  <c r="G51" i="20"/>
  <c r="G53" i="20"/>
  <c r="AA88" i="2"/>
  <c r="AF81" i="2"/>
  <c r="AN81" i="2"/>
  <c r="AG81" i="2"/>
  <c r="AO81" i="2"/>
  <c r="AI81" i="2"/>
  <c r="AQ81" i="2"/>
  <c r="AD81" i="2"/>
  <c r="AM81" i="2"/>
  <c r="AH81" i="2"/>
  <c r="AP81" i="2"/>
  <c r="AL81" i="2"/>
  <c r="AB81" i="2"/>
  <c r="AJ81" i="2"/>
  <c r="AR81" i="2"/>
  <c r="AE81" i="2"/>
  <c r="AC81" i="2"/>
  <c r="AK81" i="2"/>
  <c r="AS81" i="2"/>
  <c r="AT81" i="2"/>
  <c r="AF79" i="2"/>
  <c r="AC79" i="2"/>
  <c r="AS79" i="2"/>
  <c r="AD79" i="2"/>
  <c r="AT79" i="2"/>
  <c r="AJ79" i="2"/>
  <c r="AR79" i="2"/>
  <c r="AE79" i="2"/>
  <c r="AK79" i="2"/>
  <c r="AL79" i="2"/>
  <c r="AM79" i="2"/>
  <c r="AQ79" i="2"/>
  <c r="AP79" i="2"/>
  <c r="AH79" i="2"/>
  <c r="AO79" i="2"/>
  <c r="AG79" i="2"/>
  <c r="AN79" i="2"/>
  <c r="AB79" i="2"/>
  <c r="AI79" i="2"/>
  <c r="AA96" i="2"/>
  <c r="AA21" i="2"/>
  <c r="AA7" i="2" a="1"/>
  <c r="AA7" i="2"/>
  <c r="AA103" i="2"/>
  <c r="AA98" i="2"/>
  <c r="AA23" i="2"/>
  <c r="AA11" i="2" a="1"/>
  <c r="AA11" i="2"/>
  <c r="AA105" i="2"/>
  <c r="AA102" i="2"/>
  <c r="AA95" i="2"/>
  <c r="AA101" i="2"/>
  <c r="AA87" i="2"/>
  <c r="AA94" i="2"/>
  <c r="AA97" i="2"/>
  <c r="AA22" i="2"/>
  <c r="AA9" i="2" a="1"/>
  <c r="AA9" i="2"/>
  <c r="AA104" i="2"/>
  <c r="L14" i="2"/>
  <c r="V14" i="2"/>
  <c r="I41" i="34"/>
  <c r="I27" i="34"/>
  <c r="X17" i="37"/>
  <c r="I20" i="34"/>
  <c r="I12" i="34"/>
  <c r="V15" i="37"/>
  <c r="V14" i="37"/>
  <c r="O14" i="2"/>
  <c r="I22" i="34"/>
  <c r="G14" i="2"/>
  <c r="V16" i="37"/>
  <c r="P14" i="2"/>
  <c r="I45" i="34"/>
  <c r="G12" i="20"/>
  <c r="H12" i="20"/>
  <c r="I31" i="34"/>
  <c r="I35" i="34"/>
  <c r="G50" i="34"/>
  <c r="H50" i="34"/>
  <c r="I26" i="34"/>
  <c r="J13" i="34"/>
  <c r="I21" i="34"/>
  <c r="G48" i="34"/>
  <c r="H48" i="34"/>
  <c r="I49" i="34"/>
  <c r="AB87" i="2"/>
  <c r="AC87" i="2"/>
  <c r="AD87" i="2"/>
  <c r="AE87" i="2"/>
  <c r="AF87" i="2"/>
  <c r="AG87" i="2"/>
  <c r="AH87" i="2"/>
  <c r="AI87" i="2"/>
  <c r="AJ87" i="2"/>
  <c r="AK87" i="2"/>
  <c r="AL87" i="2"/>
  <c r="AM87" i="2"/>
  <c r="AN87" i="2"/>
  <c r="AO87" i="2"/>
  <c r="AP87" i="2"/>
  <c r="AQ87" i="2"/>
  <c r="AR87" i="2"/>
  <c r="AS87" i="2"/>
  <c r="AT87" i="2"/>
  <c r="AU87" i="2"/>
  <c r="AA19" i="2"/>
  <c r="AB88" i="2"/>
  <c r="AC88" i="2"/>
  <c r="AD88" i="2"/>
  <c r="AE88" i="2"/>
  <c r="AF88" i="2"/>
  <c r="AG88" i="2"/>
  <c r="AH88" i="2"/>
  <c r="AI88" i="2"/>
  <c r="AJ88" i="2"/>
  <c r="AK88" i="2"/>
  <c r="AL88" i="2"/>
  <c r="AM88" i="2"/>
  <c r="AN88" i="2"/>
  <c r="AO88" i="2"/>
  <c r="AP88" i="2"/>
  <c r="AQ88" i="2"/>
  <c r="AR88" i="2"/>
  <c r="AS88" i="2"/>
  <c r="AT88" i="2"/>
  <c r="AU88" i="2"/>
  <c r="AA20" i="2"/>
  <c r="AA5" i="2" a="1"/>
  <c r="AA5" i="2"/>
  <c r="AD90" i="2"/>
  <c r="G12" i="34"/>
  <c r="H12" i="34"/>
  <c r="H30" i="20"/>
  <c r="I30" i="20"/>
  <c r="H19" i="20"/>
  <c r="I19" i="20"/>
  <c r="H51" i="20"/>
  <c r="I51" i="20"/>
  <c r="H61" i="20"/>
  <c r="I61" i="20"/>
  <c r="H32" i="20"/>
  <c r="I32" i="20"/>
  <c r="H29" i="20"/>
  <c r="I29" i="20"/>
  <c r="H63" i="20"/>
  <c r="I63" i="20"/>
  <c r="H26" i="20"/>
  <c r="I26" i="20"/>
  <c r="H36" i="20"/>
  <c r="I36" i="20"/>
  <c r="H34" i="20"/>
  <c r="I34" i="20"/>
  <c r="H39" i="20"/>
  <c r="I39" i="20"/>
  <c r="H24" i="20"/>
  <c r="I24" i="20"/>
  <c r="H28" i="20"/>
  <c r="I28" i="20"/>
  <c r="H31" i="20"/>
  <c r="I31" i="20"/>
  <c r="H23" i="20"/>
  <c r="I23" i="20"/>
  <c r="H33" i="20"/>
  <c r="I33" i="20"/>
  <c r="H37" i="20"/>
  <c r="I37" i="20"/>
  <c r="H27" i="20"/>
  <c r="I27" i="20"/>
  <c r="H18" i="20"/>
  <c r="I18" i="20"/>
  <c r="H20" i="20"/>
  <c r="I20" i="20"/>
  <c r="H53" i="20"/>
  <c r="I53" i="20"/>
  <c r="H49" i="20"/>
  <c r="I49" i="20"/>
  <c r="H46" i="20"/>
  <c r="I46" i="20"/>
  <c r="H25" i="20"/>
  <c r="I25" i="20"/>
  <c r="H21" i="20"/>
  <c r="I21" i="20"/>
  <c r="H38" i="20"/>
  <c r="I38" i="20"/>
  <c r="H16" i="20"/>
  <c r="I16" i="20"/>
  <c r="H14" i="20"/>
  <c r="I14" i="20"/>
  <c r="I13" i="20"/>
  <c r="G22" i="20"/>
  <c r="J39" i="34"/>
  <c r="J42" i="34"/>
  <c r="J40" i="34"/>
  <c r="J41" i="34"/>
  <c r="J47" i="34"/>
  <c r="J37" i="34"/>
  <c r="J38" i="34"/>
  <c r="L126" i="28"/>
  <c r="H126" i="28"/>
  <c r="J126" i="28"/>
  <c r="E126" i="28"/>
  <c r="I126" i="28"/>
  <c r="M126" i="28"/>
  <c r="G126" i="28"/>
  <c r="D126" i="28"/>
  <c r="C126" i="28"/>
  <c r="K126" i="28"/>
  <c r="F126" i="28"/>
  <c r="J33" i="34"/>
  <c r="J23" i="34"/>
  <c r="J28" i="34"/>
  <c r="J14" i="34"/>
  <c r="J24" i="34"/>
  <c r="J29" i="34"/>
  <c r="J34" i="34"/>
  <c r="J15" i="34"/>
  <c r="J30" i="34"/>
  <c r="J16" i="34"/>
  <c r="J17" i="34"/>
  <c r="J18" i="34"/>
  <c r="J19" i="34"/>
  <c r="G35" i="20"/>
  <c r="G17" i="20"/>
  <c r="AB98" i="2"/>
  <c r="AC98" i="2"/>
  <c r="AD98" i="2"/>
  <c r="AE98" i="2"/>
  <c r="AF98" i="2"/>
  <c r="AG98" i="2"/>
  <c r="AH98" i="2"/>
  <c r="AI98" i="2"/>
  <c r="AJ98" i="2"/>
  <c r="AK98" i="2"/>
  <c r="AL98" i="2"/>
  <c r="AM98" i="2"/>
  <c r="AN98" i="2"/>
  <c r="AO98" i="2"/>
  <c r="AP98" i="2"/>
  <c r="AQ98" i="2"/>
  <c r="AR98" i="2"/>
  <c r="AS98" i="2"/>
  <c r="AT98" i="2"/>
  <c r="AU98" i="2"/>
  <c r="AU23" i="2"/>
  <c r="AU11" i="2" a="1"/>
  <c r="AU11" i="2"/>
  <c r="AB101" i="2"/>
  <c r="AC101" i="2"/>
  <c r="AD101" i="2"/>
  <c r="AE101" i="2"/>
  <c r="AF101" i="2"/>
  <c r="AG101" i="2"/>
  <c r="AH101" i="2"/>
  <c r="AI101" i="2"/>
  <c r="AJ101" i="2"/>
  <c r="AK101" i="2"/>
  <c r="AL101" i="2"/>
  <c r="AM101" i="2"/>
  <c r="AN101" i="2"/>
  <c r="AO101" i="2"/>
  <c r="AP101" i="2"/>
  <c r="AQ101" i="2"/>
  <c r="AR101" i="2"/>
  <c r="AS101" i="2"/>
  <c r="AT101" i="2"/>
  <c r="AU101" i="2"/>
  <c r="AB103" i="2"/>
  <c r="AC103" i="2"/>
  <c r="AD103" i="2"/>
  <c r="AE103" i="2"/>
  <c r="AF103" i="2"/>
  <c r="AG103" i="2"/>
  <c r="AH103" i="2"/>
  <c r="AI103" i="2"/>
  <c r="AJ103" i="2"/>
  <c r="AK103" i="2"/>
  <c r="AL103" i="2"/>
  <c r="AM103" i="2"/>
  <c r="AN103" i="2"/>
  <c r="AO103" i="2"/>
  <c r="AP103" i="2"/>
  <c r="AQ103" i="2"/>
  <c r="AR103" i="2"/>
  <c r="AS103" i="2"/>
  <c r="AT103" i="2"/>
  <c r="AU103" i="2"/>
  <c r="AB104" i="2"/>
  <c r="AB102" i="2"/>
  <c r="AC102" i="2"/>
  <c r="AD102" i="2"/>
  <c r="AE102" i="2"/>
  <c r="AF102" i="2"/>
  <c r="AG102" i="2"/>
  <c r="AH102" i="2"/>
  <c r="AI102" i="2"/>
  <c r="AJ102" i="2"/>
  <c r="AK102" i="2"/>
  <c r="AL102" i="2"/>
  <c r="AM102" i="2"/>
  <c r="AN102" i="2"/>
  <c r="AO102" i="2"/>
  <c r="AP102" i="2"/>
  <c r="AQ102" i="2"/>
  <c r="AR102" i="2"/>
  <c r="AS102" i="2"/>
  <c r="AT102" i="2"/>
  <c r="AU102" i="2"/>
  <c r="AB105" i="2"/>
  <c r="AB97" i="2"/>
  <c r="AB22" i="2"/>
  <c r="AB94" i="2"/>
  <c r="AB95" i="2"/>
  <c r="AA92" i="2"/>
  <c r="AA106" i="2"/>
  <c r="AA99" i="2"/>
  <c r="AB96" i="2"/>
  <c r="AB21" i="2"/>
  <c r="T29" i="12"/>
  <c r="T30" i="12"/>
  <c r="T31" i="12"/>
  <c r="T32" i="12"/>
  <c r="T33" i="12"/>
  <c r="T34" i="12"/>
  <c r="T35" i="12"/>
  <c r="T36" i="12"/>
  <c r="T37" i="12"/>
  <c r="T38" i="12"/>
  <c r="T39" i="12"/>
  <c r="T28" i="12"/>
  <c r="R29" i="12"/>
  <c r="R30" i="12"/>
  <c r="R31" i="12"/>
  <c r="R32" i="12"/>
  <c r="R33" i="12"/>
  <c r="R34" i="12"/>
  <c r="R35" i="12"/>
  <c r="R36" i="12"/>
  <c r="R37" i="12"/>
  <c r="R38" i="12"/>
  <c r="R39" i="12"/>
  <c r="R28" i="12"/>
  <c r="P29" i="12"/>
  <c r="P30" i="12"/>
  <c r="P31" i="12"/>
  <c r="P32" i="12"/>
  <c r="P33" i="12"/>
  <c r="P34" i="12"/>
  <c r="P35" i="12"/>
  <c r="P36" i="12"/>
  <c r="P37" i="12"/>
  <c r="P38" i="12"/>
  <c r="P39" i="12"/>
  <c r="P28" i="12"/>
  <c r="AA3" i="2" a="1"/>
  <c r="AA3" i="2"/>
  <c r="AA24" i="2"/>
  <c r="V17" i="37"/>
  <c r="AB23" i="2"/>
  <c r="AB11" i="2" a="1"/>
  <c r="AB11" i="2"/>
  <c r="AI23" i="2"/>
  <c r="AI11" i="2" a="1"/>
  <c r="AI11" i="2"/>
  <c r="AR23" i="2"/>
  <c r="AR11" i="2" a="1"/>
  <c r="AR11" i="2"/>
  <c r="AD23" i="2"/>
  <c r="AD11" i="2" a="1"/>
  <c r="AD11" i="2"/>
  <c r="AC23" i="2"/>
  <c r="AC11" i="2" a="1"/>
  <c r="AC11" i="2"/>
  <c r="AH23" i="2"/>
  <c r="AH11" i="2" a="1"/>
  <c r="AH11" i="2"/>
  <c r="AN23" i="2"/>
  <c r="AN11" i="2" a="1"/>
  <c r="AN11" i="2"/>
  <c r="AS23" i="2"/>
  <c r="AS11" i="2" a="1"/>
  <c r="AS11" i="2"/>
  <c r="AL23" i="2"/>
  <c r="AL11" i="2" a="1"/>
  <c r="AL11" i="2"/>
  <c r="AO23" i="2"/>
  <c r="AO11" i="2" a="1"/>
  <c r="AO11" i="2"/>
  <c r="AJ23" i="2"/>
  <c r="AJ11" i="2" a="1"/>
  <c r="AJ11" i="2"/>
  <c r="AQ23" i="2"/>
  <c r="AQ11" i="2" a="1"/>
  <c r="AQ11" i="2"/>
  <c r="AE23" i="2"/>
  <c r="AE11" i="2" a="1"/>
  <c r="AE11" i="2"/>
  <c r="AM23" i="2"/>
  <c r="AM11" i="2" a="1"/>
  <c r="AM11" i="2"/>
  <c r="AF23" i="2"/>
  <c r="AF11" i="2" a="1"/>
  <c r="AF11" i="2"/>
  <c r="AK23" i="2"/>
  <c r="AK11" i="2" a="1"/>
  <c r="AK11" i="2"/>
  <c r="AP23" i="2"/>
  <c r="AP11" i="2" a="1"/>
  <c r="AP11" i="2"/>
  <c r="AG23" i="2"/>
  <c r="AG11" i="2" a="1"/>
  <c r="AG11" i="2"/>
  <c r="AT23" i="2"/>
  <c r="AT11" i="2" a="1"/>
  <c r="AT11" i="2"/>
  <c r="AE90" i="2"/>
  <c r="I12" i="20"/>
  <c r="G31" i="34"/>
  <c r="H31" i="34"/>
  <c r="G26" i="34"/>
  <c r="H26" i="34"/>
  <c r="G45" i="34"/>
  <c r="H45" i="34"/>
  <c r="H35" i="20"/>
  <c r="I35" i="20"/>
  <c r="H17" i="20"/>
  <c r="I17" i="20"/>
  <c r="H22" i="20"/>
  <c r="I22" i="20"/>
  <c r="X31" i="37"/>
  <c r="Y57" i="37"/>
  <c r="J49" i="34"/>
  <c r="I48" i="34"/>
  <c r="J48" i="34"/>
  <c r="N126" i="28"/>
  <c r="O126" i="28"/>
  <c r="AC97" i="2"/>
  <c r="AA13" i="2"/>
  <c r="AC105" i="2"/>
  <c r="AC104" i="2"/>
  <c r="AC96" i="2"/>
  <c r="AC21" i="2"/>
  <c r="AC95" i="2"/>
  <c r="AB106" i="2"/>
  <c r="AC94" i="2"/>
  <c r="AB99" i="2"/>
  <c r="AB72" i="2"/>
  <c r="AD58" i="2"/>
  <c r="AB58" i="2"/>
  <c r="AC58" i="2"/>
  <c r="B8" i="20"/>
  <c r="AU77" i="2"/>
  <c r="AB77" i="2"/>
  <c r="B8" i="34"/>
  <c r="AD97" i="2"/>
  <c r="AC22" i="2"/>
  <c r="AF90" i="2"/>
  <c r="J31" i="34"/>
  <c r="J32" i="34"/>
  <c r="J27" i="34"/>
  <c r="J26" i="34"/>
  <c r="J36" i="34"/>
  <c r="G35" i="34"/>
  <c r="H35" i="34"/>
  <c r="J35" i="34"/>
  <c r="J45" i="34"/>
  <c r="J46" i="34"/>
  <c r="J12" i="34"/>
  <c r="J21" i="34"/>
  <c r="J22" i="34"/>
  <c r="G21" i="34"/>
  <c r="H21" i="34"/>
  <c r="AD105" i="2"/>
  <c r="AD104" i="2"/>
  <c r="AC106" i="2"/>
  <c r="AD95" i="2"/>
  <c r="AD94" i="2"/>
  <c r="AC99" i="2"/>
  <c r="AD96" i="2"/>
  <c r="AD21" i="2"/>
  <c r="AE58" i="2"/>
  <c r="AC72" i="2"/>
  <c r="V166" i="2"/>
  <c r="U166" i="2"/>
  <c r="V146" i="2"/>
  <c r="U146" i="2"/>
  <c r="V125" i="2"/>
  <c r="U125" i="2"/>
  <c r="V105" i="2"/>
  <c r="U105" i="2"/>
  <c r="V83" i="2"/>
  <c r="U83" i="2"/>
  <c r="B74" i="2"/>
  <c r="AU78" i="2"/>
  <c r="AE97" i="2"/>
  <c r="AD22" i="2"/>
  <c r="AG90" i="2"/>
  <c r="AT77" i="2"/>
  <c r="AJ77" i="2"/>
  <c r="AF77" i="2"/>
  <c r="AQ77" i="2"/>
  <c r="AP77" i="2"/>
  <c r="AD77" i="2"/>
  <c r="AD19" i="2"/>
  <c r="AM77" i="2"/>
  <c r="AC77" i="2"/>
  <c r="AC19" i="2"/>
  <c r="AL77" i="2"/>
  <c r="AO77" i="2"/>
  <c r="AG77" i="2"/>
  <c r="AR77" i="2"/>
  <c r="AN77" i="2"/>
  <c r="AE77" i="2"/>
  <c r="AS77" i="2"/>
  <c r="AB19" i="2"/>
  <c r="AH77" i="2"/>
  <c r="AI77" i="2"/>
  <c r="AK77" i="2"/>
  <c r="AE104" i="2"/>
  <c r="AE105" i="2"/>
  <c r="AE96" i="2"/>
  <c r="AE21" i="2"/>
  <c r="AE94" i="2"/>
  <c r="AD99" i="2"/>
  <c r="AE95" i="2"/>
  <c r="AD106" i="2"/>
  <c r="AD72" i="2"/>
  <c r="AF58" i="2"/>
  <c r="AE19" i="2"/>
  <c r="AF97" i="2"/>
  <c r="AE22" i="2"/>
  <c r="AH90" i="2"/>
  <c r="AF105" i="2"/>
  <c r="AF104" i="2"/>
  <c r="AF94" i="2"/>
  <c r="AF19" i="2"/>
  <c r="AE99" i="2"/>
  <c r="AF96" i="2"/>
  <c r="AF21" i="2"/>
  <c r="AE106" i="2"/>
  <c r="AF95" i="2"/>
  <c r="AE72" i="2"/>
  <c r="AG58" i="2"/>
  <c r="AG97" i="2"/>
  <c r="AF22" i="2"/>
  <c r="AI90" i="2"/>
  <c r="AR78" i="2"/>
  <c r="AC78" i="2"/>
  <c r="AC20" i="2"/>
  <c r="AC24" i="2"/>
  <c r="AM78" i="2"/>
  <c r="AE78" i="2"/>
  <c r="AE20" i="2"/>
  <c r="AE24" i="2"/>
  <c r="AQ78" i="2"/>
  <c r="AS78" i="2"/>
  <c r="AO78" i="2"/>
  <c r="AI78" i="2"/>
  <c r="AL78" i="2"/>
  <c r="AF78" i="2"/>
  <c r="AF20" i="2"/>
  <c r="AF24" i="2"/>
  <c r="AJ78" i="2"/>
  <c r="AT78" i="2"/>
  <c r="AP78" i="2"/>
  <c r="AH78" i="2"/>
  <c r="AN78" i="2"/>
  <c r="AB78" i="2"/>
  <c r="AB20" i="2"/>
  <c r="AB24" i="2"/>
  <c r="AG78" i="2"/>
  <c r="AK78" i="2"/>
  <c r="AD78" i="2"/>
  <c r="AD20" i="2"/>
  <c r="AD24" i="2"/>
  <c r="AG104" i="2"/>
  <c r="AG105" i="2"/>
  <c r="AG94" i="2"/>
  <c r="AG19" i="2"/>
  <c r="AF99" i="2"/>
  <c r="AG96" i="2"/>
  <c r="AG21" i="2"/>
  <c r="AF106" i="2"/>
  <c r="AG95" i="2"/>
  <c r="AH58" i="2"/>
  <c r="AF72" i="2"/>
  <c r="AG20" i="2"/>
  <c r="AH97" i="2"/>
  <c r="AG22" i="2"/>
  <c r="AJ90" i="2"/>
  <c r="AH105" i="2"/>
  <c r="AH104" i="2"/>
  <c r="AU82" i="2"/>
  <c r="AH94" i="2"/>
  <c r="AH19" i="2"/>
  <c r="AG99" i="2"/>
  <c r="AG106" i="2"/>
  <c r="AH96" i="2"/>
  <c r="AH21" i="2"/>
  <c r="AH95" i="2"/>
  <c r="AH20" i="2"/>
  <c r="AG72" i="2"/>
  <c r="AI58" i="2"/>
  <c r="AG24" i="2"/>
  <c r="AI97" i="2"/>
  <c r="AH22" i="2"/>
  <c r="AH24" i="2"/>
  <c r="AK90" i="2"/>
  <c r="AI105" i="2"/>
  <c r="AI104" i="2"/>
  <c r="AG82" i="2"/>
  <c r="AD82" i="2"/>
  <c r="AJ82" i="2"/>
  <c r="AN82" i="2"/>
  <c r="AS82" i="2"/>
  <c r="AI82" i="2"/>
  <c r="AF82" i="2"/>
  <c r="AQ82" i="2"/>
  <c r="AK82" i="2"/>
  <c r="AP82" i="2"/>
  <c r="AC82" i="2"/>
  <c r="AH82" i="2"/>
  <c r="AB82" i="2"/>
  <c r="AT82" i="2"/>
  <c r="AL82" i="2"/>
  <c r="AM82" i="2"/>
  <c r="AR82" i="2"/>
  <c r="AO82" i="2"/>
  <c r="AE82" i="2"/>
  <c r="AI94" i="2"/>
  <c r="AI19" i="2"/>
  <c r="AH99" i="2"/>
  <c r="AH106" i="2"/>
  <c r="AI96" i="2"/>
  <c r="AI21" i="2"/>
  <c r="AI95" i="2"/>
  <c r="AI20" i="2"/>
  <c r="AJ58" i="2"/>
  <c r="AH72" i="2"/>
  <c r="AJ97" i="2"/>
  <c r="AI22" i="2"/>
  <c r="AI24" i="2"/>
  <c r="AL90" i="2"/>
  <c r="AJ104" i="2"/>
  <c r="AJ105" i="2"/>
  <c r="AJ96" i="2"/>
  <c r="AJ21" i="2"/>
  <c r="AI106" i="2"/>
  <c r="AJ95" i="2"/>
  <c r="AJ20" i="2"/>
  <c r="AJ94" i="2"/>
  <c r="AJ19" i="2"/>
  <c r="AI99" i="2"/>
  <c r="AI72" i="2"/>
  <c r="AK58" i="2"/>
  <c r="AK97" i="2"/>
  <c r="AJ22" i="2"/>
  <c r="AJ24" i="2"/>
  <c r="AM90" i="2"/>
  <c r="AK104" i="2"/>
  <c r="AK105" i="2"/>
  <c r="AK95" i="2"/>
  <c r="AK20" i="2"/>
  <c r="AK94" i="2"/>
  <c r="AK19" i="2"/>
  <c r="AJ99" i="2"/>
  <c r="AJ106" i="2"/>
  <c r="AK96" i="2"/>
  <c r="AK21" i="2"/>
  <c r="AL58" i="2"/>
  <c r="AJ72" i="2"/>
  <c r="AL97" i="2"/>
  <c r="AK22" i="2"/>
  <c r="AK24" i="2"/>
  <c r="AN90" i="2"/>
  <c r="AL105" i="2"/>
  <c r="AL104" i="2"/>
  <c r="AL94" i="2"/>
  <c r="AL19" i="2"/>
  <c r="AK99" i="2"/>
  <c r="AL95" i="2"/>
  <c r="AL20" i="2"/>
  <c r="AL96" i="2"/>
  <c r="AL21" i="2"/>
  <c r="AK106" i="2"/>
  <c r="AK72" i="2"/>
  <c r="AM58" i="2"/>
  <c r="AM97" i="2"/>
  <c r="AL22" i="2"/>
  <c r="AL24" i="2"/>
  <c r="AO90" i="2"/>
  <c r="AM104" i="2"/>
  <c r="AM105" i="2"/>
  <c r="AM96" i="2"/>
  <c r="AM21" i="2"/>
  <c r="AM95" i="2"/>
  <c r="AM20" i="2"/>
  <c r="AL106" i="2"/>
  <c r="AM94" i="2"/>
  <c r="AM19" i="2"/>
  <c r="AL99" i="2"/>
  <c r="AL72" i="2"/>
  <c r="AN58" i="2"/>
  <c r="AN97" i="2"/>
  <c r="AM22" i="2"/>
  <c r="AM24" i="2"/>
  <c r="AP90" i="2"/>
  <c r="AN105" i="2"/>
  <c r="AN104" i="2"/>
  <c r="AN94" i="2"/>
  <c r="AN19" i="2"/>
  <c r="AM99" i="2"/>
  <c r="AM106" i="2"/>
  <c r="AN96" i="2"/>
  <c r="AN21" i="2"/>
  <c r="AN95" i="2"/>
  <c r="AN20" i="2"/>
  <c r="AO58" i="2"/>
  <c r="AM72" i="2"/>
  <c r="AO97" i="2"/>
  <c r="AN22" i="2"/>
  <c r="AN24" i="2"/>
  <c r="AQ90" i="2"/>
  <c r="AO105" i="2"/>
  <c r="AO104" i="2"/>
  <c r="AO96" i="2"/>
  <c r="AO21" i="2"/>
  <c r="AN106" i="2"/>
  <c r="AO95" i="2"/>
  <c r="AO20" i="2"/>
  <c r="AO94" i="2"/>
  <c r="AO19" i="2"/>
  <c r="AN99" i="2"/>
  <c r="AP58" i="2"/>
  <c r="AN72" i="2"/>
  <c r="AP97" i="2"/>
  <c r="AO22" i="2"/>
  <c r="AO24" i="2"/>
  <c r="AR90" i="2"/>
  <c r="AP104" i="2"/>
  <c r="AP105" i="2"/>
  <c r="AO106" i="2"/>
  <c r="AP95" i="2"/>
  <c r="AP20" i="2"/>
  <c r="AP94" i="2"/>
  <c r="AP19" i="2"/>
  <c r="AO99" i="2"/>
  <c r="AP96" i="2"/>
  <c r="AP21" i="2"/>
  <c r="AO72" i="2"/>
  <c r="AQ58" i="2"/>
  <c r="AQ97" i="2"/>
  <c r="AP22" i="2"/>
  <c r="AP24" i="2"/>
  <c r="AS90" i="2"/>
  <c r="AQ105" i="2"/>
  <c r="AQ104" i="2"/>
  <c r="AQ94" i="2"/>
  <c r="AQ19" i="2"/>
  <c r="AP99" i="2"/>
  <c r="AQ96" i="2"/>
  <c r="AQ21" i="2"/>
  <c r="AQ95" i="2"/>
  <c r="AQ20" i="2"/>
  <c r="AP106" i="2"/>
  <c r="AR58" i="2"/>
  <c r="AP72" i="2"/>
  <c r="AR97" i="2"/>
  <c r="AQ22" i="2"/>
  <c r="AQ24" i="2"/>
  <c r="AT90" i="2"/>
  <c r="AR105" i="2"/>
  <c r="AR104" i="2"/>
  <c r="AR96" i="2"/>
  <c r="AR21" i="2"/>
  <c r="AQ106" i="2"/>
  <c r="AR95" i="2"/>
  <c r="AR20" i="2"/>
  <c r="AR94" i="2"/>
  <c r="AR19" i="2"/>
  <c r="AQ99" i="2"/>
  <c r="AQ72" i="2"/>
  <c r="AS58" i="2"/>
  <c r="AS97" i="2"/>
  <c r="AR22" i="2"/>
  <c r="AR24" i="2"/>
  <c r="AU90" i="2"/>
  <c r="AS104" i="2"/>
  <c r="AS105" i="2"/>
  <c r="AS96" i="2"/>
  <c r="AS21" i="2"/>
  <c r="AS94" i="2"/>
  <c r="AS19" i="2"/>
  <c r="AR99" i="2"/>
  <c r="AS95" i="2"/>
  <c r="AS20" i="2"/>
  <c r="AR106" i="2"/>
  <c r="AR72" i="2"/>
  <c r="AT97" i="2"/>
  <c r="AS22" i="2"/>
  <c r="AS24" i="2"/>
  <c r="AT105" i="2"/>
  <c r="AT104" i="2"/>
  <c r="AT96" i="2"/>
  <c r="AT21" i="2"/>
  <c r="AT94" i="2"/>
  <c r="AT19" i="2"/>
  <c r="AS99" i="2"/>
  <c r="AT95" i="2"/>
  <c r="AT20" i="2"/>
  <c r="AS106" i="2"/>
  <c r="AS72" i="2"/>
  <c r="AU97" i="2"/>
  <c r="AU22" i="2"/>
  <c r="AT22" i="2"/>
  <c r="AT24" i="2"/>
  <c r="AU104" i="2"/>
  <c r="AU105" i="2"/>
  <c r="AT106" i="2"/>
  <c r="AU94" i="2"/>
  <c r="AU19" i="2"/>
  <c r="AT99" i="2"/>
  <c r="AU95" i="2"/>
  <c r="AU20" i="2"/>
  <c r="AU96" i="2"/>
  <c r="AU21" i="2"/>
  <c r="AR3" i="2" a="1"/>
  <c r="AR3" i="2"/>
  <c r="AU24" i="2"/>
  <c r="AR9" i="2" a="1"/>
  <c r="AR9" i="2"/>
  <c r="AC9" i="2" a="1"/>
  <c r="AC9" i="2"/>
  <c r="AU9" i="2" a="1"/>
  <c r="AU9" i="2"/>
  <c r="AG9" i="2" a="1"/>
  <c r="AG9" i="2"/>
  <c r="AE9" i="2" a="1"/>
  <c r="AE9" i="2"/>
  <c r="AF9" i="2" a="1"/>
  <c r="AF9" i="2"/>
  <c r="AD9" i="2" a="1"/>
  <c r="AD9" i="2"/>
  <c r="AM9" i="2" a="1"/>
  <c r="AM9" i="2"/>
  <c r="AL9" i="2" a="1"/>
  <c r="AL9" i="2"/>
  <c r="AK9" i="2" a="1"/>
  <c r="AK9" i="2"/>
  <c r="AO9" i="2" a="1"/>
  <c r="AO9" i="2"/>
  <c r="AS9" i="2" a="1"/>
  <c r="AS9" i="2"/>
  <c r="AN9" i="2" a="1"/>
  <c r="AN9" i="2"/>
  <c r="AP9" i="2" a="1"/>
  <c r="AP9" i="2"/>
  <c r="AQ9" i="2" a="1"/>
  <c r="AQ9" i="2"/>
  <c r="AT9" i="2" a="1"/>
  <c r="AT9" i="2"/>
  <c r="AI9" i="2" a="1"/>
  <c r="AI9" i="2"/>
  <c r="AB9" i="2" a="1"/>
  <c r="AB9" i="2"/>
  <c r="AH9" i="2" a="1"/>
  <c r="AH9" i="2"/>
  <c r="AJ9" i="2" a="1"/>
  <c r="AJ9" i="2"/>
  <c r="AQ3" i="2" a="1"/>
  <c r="AQ3" i="2"/>
  <c r="AJ3" i="2" a="1"/>
  <c r="AJ3" i="2"/>
  <c r="AM3" i="2" a="1"/>
  <c r="AM3" i="2"/>
  <c r="AL3" i="2" a="1"/>
  <c r="AL3" i="2"/>
  <c r="AB3" i="2" a="1"/>
  <c r="AB3" i="2"/>
  <c r="AF3" i="2" a="1"/>
  <c r="AF3" i="2"/>
  <c r="AE3" i="2" a="1"/>
  <c r="AE3" i="2"/>
  <c r="AN3" i="2" a="1"/>
  <c r="AN3" i="2"/>
  <c r="AH3" i="2" a="1"/>
  <c r="AH3" i="2"/>
  <c r="AP3" i="2" a="1"/>
  <c r="AP3" i="2"/>
  <c r="AU3" i="2" a="1"/>
  <c r="AU3" i="2"/>
  <c r="AC3" i="2" a="1"/>
  <c r="AC3" i="2"/>
  <c r="AI3" i="2" a="1"/>
  <c r="AI3" i="2"/>
  <c r="AT3" i="2" a="1"/>
  <c r="AT3" i="2"/>
  <c r="AK3" i="2" a="1"/>
  <c r="AK3" i="2"/>
  <c r="AO3" i="2" a="1"/>
  <c r="AO3" i="2"/>
  <c r="AS3" i="2" a="1"/>
  <c r="AS3" i="2"/>
  <c r="AG3" i="2" a="1"/>
  <c r="AG3" i="2"/>
  <c r="AD3" i="2" a="1"/>
  <c r="AD3" i="2"/>
  <c r="AU7" i="2" a="1"/>
  <c r="AU7" i="2"/>
  <c r="AT7" i="2" a="1"/>
  <c r="AT7" i="2"/>
  <c r="AE7" i="2" a="1"/>
  <c r="AE7" i="2"/>
  <c r="AO7" i="2" a="1"/>
  <c r="AO7" i="2"/>
  <c r="AF7" i="2" a="1"/>
  <c r="AF7" i="2"/>
  <c r="AD7" i="2" a="1"/>
  <c r="AD7" i="2"/>
  <c r="AM7" i="2" a="1"/>
  <c r="AM7" i="2"/>
  <c r="AP7" i="2" a="1"/>
  <c r="AP7" i="2"/>
  <c r="AG7" i="2" a="1"/>
  <c r="AG7" i="2"/>
  <c r="AN7" i="2" a="1"/>
  <c r="AN7" i="2"/>
  <c r="AR7" i="2" a="1"/>
  <c r="AR7" i="2"/>
  <c r="AK7" i="2" a="1"/>
  <c r="AK7" i="2"/>
  <c r="AQ7" i="2" a="1"/>
  <c r="AQ7" i="2"/>
  <c r="AI7" i="2" a="1"/>
  <c r="AI7" i="2"/>
  <c r="AS7" i="2" a="1"/>
  <c r="AS7" i="2"/>
  <c r="AB7" i="2" a="1"/>
  <c r="AB7" i="2"/>
  <c r="AC7" i="2" a="1"/>
  <c r="AC7" i="2"/>
  <c r="AH7" i="2" a="1"/>
  <c r="AH7" i="2"/>
  <c r="AJ7" i="2" a="1"/>
  <c r="AJ7" i="2"/>
  <c r="AL7" i="2" a="1"/>
  <c r="AL7" i="2"/>
  <c r="AR5" i="2" a="1"/>
  <c r="AR5" i="2"/>
  <c r="AP5" i="2" a="1"/>
  <c r="AP5" i="2"/>
  <c r="AO5" i="2" a="1"/>
  <c r="AO5" i="2"/>
  <c r="AG5" i="2" a="1"/>
  <c r="AG5" i="2"/>
  <c r="AK5" i="2" a="1"/>
  <c r="AK5" i="2"/>
  <c r="AE5" i="2" a="1"/>
  <c r="AE5" i="2"/>
  <c r="AJ5" i="2" a="1"/>
  <c r="AJ5" i="2"/>
  <c r="AN5" i="2" a="1"/>
  <c r="AN5" i="2"/>
  <c r="AI5" i="2" a="1"/>
  <c r="AI5" i="2"/>
  <c r="AC5" i="2" a="1"/>
  <c r="AC5" i="2"/>
  <c r="AS5" i="2" a="1"/>
  <c r="AS5" i="2"/>
  <c r="AF5" i="2" a="1"/>
  <c r="AF5" i="2"/>
  <c r="AL5" i="2" a="1"/>
  <c r="AL5" i="2"/>
  <c r="AU5" i="2" a="1"/>
  <c r="AU5" i="2"/>
  <c r="AH5" i="2" a="1"/>
  <c r="AH5" i="2"/>
  <c r="AT5" i="2" a="1"/>
  <c r="AT5" i="2"/>
  <c r="AB5" i="2" a="1"/>
  <c r="AB5" i="2"/>
  <c r="AD5" i="2" a="1"/>
  <c r="AD5" i="2"/>
  <c r="AM5" i="2" a="1"/>
  <c r="AM5" i="2"/>
  <c r="AQ5" i="2" a="1"/>
  <c r="AQ5" i="2"/>
  <c r="AU99" i="2"/>
  <c r="AU106" i="2"/>
  <c r="AU13" i="2"/>
  <c r="AC10" i="37"/>
  <c r="X27" i="37"/>
  <c r="Y53" i="37"/>
  <c r="Y56" i="37"/>
  <c r="X30" i="37"/>
  <c r="X28" i="37"/>
  <c r="Y54" i="37"/>
  <c r="Y29" i="37"/>
  <c r="Y55" i="37"/>
  <c r="X29" i="37"/>
  <c r="W31" i="37"/>
  <c r="V31" i="37"/>
  <c r="W27" i="37"/>
  <c r="V27" i="37"/>
  <c r="Y31" i="37"/>
  <c r="Y27" i="37"/>
  <c r="Y30" i="37"/>
  <c r="Y28" i="37"/>
  <c r="W28" i="37"/>
  <c r="V28" i="37"/>
  <c r="W29" i="37"/>
  <c r="V29" i="37"/>
  <c r="V30" i="37"/>
  <c r="W30" i="37"/>
  <c r="AB13" i="2"/>
  <c r="AC13" i="2"/>
  <c r="AP13" i="2"/>
  <c r="AM13" i="2"/>
  <c r="AH13" i="2"/>
  <c r="AQ13" i="2"/>
  <c r="AO13" i="2"/>
  <c r="AG13" i="2"/>
  <c r="AS13" i="2"/>
  <c r="AJ13" i="2"/>
  <c r="AI13" i="2"/>
  <c r="AN13" i="2"/>
  <c r="AL13" i="2"/>
  <c r="AT13" i="2"/>
  <c r="AK13" i="2"/>
  <c r="AD13" i="2"/>
  <c r="AE13" i="2"/>
  <c r="AR13" i="2"/>
  <c r="AF13" i="2"/>
  <c r="Y32" i="37"/>
  <c r="AC18" i="37"/>
  <c r="AC24" i="37"/>
  <c r="AC30" i="37"/>
  <c r="X32" i="37"/>
  <c r="Y58" i="37"/>
  <c r="W32" i="37"/>
  <c r="V32" i="37"/>
  <c r="AC36" i="37"/>
  <c r="AA186" i="2"/>
  <c r="AU63" i="2"/>
  <c r="AU61" i="2"/>
  <c r="AU64" i="2"/>
  <c r="AU60" i="2"/>
  <c r="AU62" i="2"/>
  <c r="AT61" i="2"/>
  <c r="AT64" i="2"/>
  <c r="AT62" i="2"/>
  <c r="AT60" i="2"/>
  <c r="AT63" i="2"/>
  <c r="AT53" i="2"/>
  <c r="AT67" i="2"/>
  <c r="AT70" i="2"/>
  <c r="AT56" i="2"/>
  <c r="AU68" i="2"/>
  <c r="AU54" i="2"/>
  <c r="AT57" i="2"/>
  <c r="AT71" i="2"/>
  <c r="AT68" i="2"/>
  <c r="AT54" i="2"/>
  <c r="AU70" i="2"/>
  <c r="AU56" i="2"/>
  <c r="AT55" i="2"/>
  <c r="AT69" i="2"/>
  <c r="AU55" i="2"/>
  <c r="AU69" i="2"/>
  <c r="AU53" i="2"/>
  <c r="AU67" i="2"/>
  <c r="AU57" i="2"/>
  <c r="AU71" i="2"/>
  <c r="AA36" i="2"/>
  <c r="AA60" i="2"/>
  <c r="AU72" i="2"/>
  <c r="AT72" i="2"/>
  <c r="AU58" i="2"/>
  <c r="AT58" i="2"/>
  <c r="AA67" i="2"/>
  <c r="AA72" i="2"/>
  <c r="AA53" i="2"/>
  <c r="AA58" i="2"/>
  <c r="AA29" i="2"/>
  <c r="AA43" i="2"/>
  <c r="AB92" i="2"/>
  <c r="AA48" i="2"/>
  <c r="AD92" i="2"/>
  <c r="AQ92" i="2"/>
  <c r="AU92" i="2"/>
  <c r="AP92" i="2"/>
  <c r="AN92" i="2"/>
  <c r="AH92" i="2"/>
  <c r="AO92" i="2"/>
  <c r="AE92" i="2"/>
  <c r="AG92" i="2"/>
  <c r="AF92" i="2"/>
  <c r="AS92" i="2"/>
  <c r="AL92" i="2"/>
  <c r="AK92" i="2"/>
  <c r="AM92" i="2"/>
  <c r="AJ92" i="2"/>
  <c r="AT92" i="2"/>
  <c r="AI92" i="2"/>
  <c r="AR92" i="2"/>
  <c r="C50" i="17"/>
  <c r="D50" i="17"/>
  <c r="E50" i="17"/>
  <c r="F50" i="17"/>
  <c r="G50" i="17"/>
  <c r="H50" i="17"/>
  <c r="I50" i="17"/>
  <c r="J50" i="17"/>
  <c r="K50" i="17"/>
  <c r="L50" i="17"/>
  <c r="M50" i="17"/>
  <c r="N50" i="17"/>
  <c r="O50" i="17"/>
  <c r="P50" i="17"/>
  <c r="Q50" i="17"/>
  <c r="R50" i="17"/>
  <c r="S50" i="17"/>
  <c r="T50" i="17"/>
  <c r="U50" i="17"/>
  <c r="V50" i="17"/>
  <c r="C49" i="17"/>
  <c r="D49" i="17"/>
  <c r="E49" i="17"/>
  <c r="F49" i="17"/>
  <c r="G49" i="17"/>
  <c r="H49" i="17"/>
  <c r="I49" i="17"/>
  <c r="J49" i="17"/>
  <c r="K49" i="17"/>
  <c r="L49" i="17"/>
  <c r="M49" i="17"/>
  <c r="N49" i="17"/>
  <c r="O49" i="17"/>
  <c r="P49" i="17"/>
  <c r="Q49" i="17"/>
  <c r="R49" i="17"/>
  <c r="S49" i="17"/>
  <c r="T49" i="17"/>
  <c r="U49" i="17"/>
  <c r="V49" i="17"/>
  <c r="C51" i="17"/>
  <c r="D51" i="17"/>
  <c r="E51" i="17"/>
  <c r="F51" i="17"/>
  <c r="G51" i="17"/>
  <c r="H51" i="17"/>
  <c r="I51" i="17"/>
  <c r="J51" i="17"/>
  <c r="K51" i="17"/>
  <c r="L51" i="17"/>
  <c r="M51" i="17"/>
  <c r="N51" i="17"/>
  <c r="O51" i="17"/>
  <c r="P51" i="17"/>
  <c r="Q51" i="17"/>
  <c r="R51" i="17"/>
  <c r="S51" i="17"/>
  <c r="T51" i="17"/>
  <c r="U51" i="17"/>
  <c r="V51" i="17"/>
  <c r="C52" i="17"/>
  <c r="D52" i="17"/>
  <c r="E52" i="17"/>
  <c r="F52" i="17"/>
  <c r="G52" i="17"/>
  <c r="H52" i="17"/>
  <c r="I52" i="17"/>
  <c r="J52" i="17"/>
  <c r="K52" i="17"/>
  <c r="L52" i="17"/>
  <c r="M52" i="17"/>
  <c r="N52" i="17"/>
  <c r="O52" i="17"/>
  <c r="P52" i="17"/>
  <c r="Q52" i="17"/>
  <c r="R52" i="17"/>
  <c r="S52" i="17"/>
  <c r="T52" i="17"/>
  <c r="U52" i="17"/>
  <c r="V52" i="17"/>
  <c r="C48" i="17"/>
  <c r="D48" i="17"/>
  <c r="E48" i="17"/>
  <c r="F48" i="17"/>
  <c r="G48" i="17"/>
  <c r="H48" i="17"/>
  <c r="I48" i="17"/>
  <c r="J48" i="17"/>
  <c r="K48" i="17"/>
  <c r="L48" i="17"/>
  <c r="M48" i="17"/>
  <c r="N48" i="17"/>
  <c r="O48" i="17"/>
  <c r="P48" i="17"/>
  <c r="Q48" i="17"/>
  <c r="R48" i="17"/>
  <c r="S48" i="17"/>
  <c r="T48" i="17"/>
  <c r="U48" i="17"/>
  <c r="V48" i="17"/>
  <c r="AC9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tc={8305E22D-7B21-4765-B4C3-EE10D53F214D}</author>
  </authors>
  <commentList>
    <comment ref="D21" authorId="0" shapeId="0" xr:uid="{8305E22D-7B21-4765-B4C3-EE10D53F214D}">
      <text>
        <t>[Threaded comment]
Your version of Excel allows you to read this threaded comment; however, any edits to it will get removed if the file is opened in a newer version of Excel. Learn more: https://go.microsoft.com/fwlink/?linkid=870924
Comment:
    Advanced Vapor- Compression Systems
A/C technologies that significantly lower refrigerant GWP and energy consumption for vapor-compression A/C systems while maintaining cost-competitiveness with today’s high-volume equipment.
• Low-GWP refrigerants (e.g., natural refrigerants and synthetic olefins)
• Climate-specific designs
Emerging Non- Vapor- Compression (NVC) Systems
A/C systems that do not rely on refrigerant- based vapor-compression systems and can provide energy savings with high-volume cost similar to today’s state-of-the-art.
• Solid-State (thermoelectric, magnetocaloric)
• Electro-mechanical (evaporative, thermoelastic)
• Thermally driven (absorption)
Integration of A/C and Other Building Systems
A/C technologies that share excess heat and other resources with other systems to provide energy savings for the entire building.
• Capturing waste energy from space cooling for water heating and dehumidification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<sst xmlns="http://schemas.openxmlformats.org/spreadsheetml/2006/main" count="6682" uniqueCount="1085">
  <si>
    <t xml:space="preserve">Res </t>
  </si>
  <si>
    <t>Comm</t>
  </si>
  <si>
    <t>Ind</t>
  </si>
  <si>
    <t>Res</t>
  </si>
  <si>
    <t>Population (mill)</t>
  </si>
  <si>
    <t>GDP (bill)</t>
  </si>
  <si>
    <t>Street Lighting</t>
  </si>
  <si>
    <t>Ind/Agr</t>
  </si>
  <si>
    <t>Other</t>
  </si>
  <si>
    <t>Total Elec Load (GWh)</t>
  </si>
  <si>
    <t>PREPA Assumptions</t>
  </si>
  <si>
    <t xml:space="preserve">Residential </t>
  </si>
  <si>
    <t xml:space="preserve">Industrial </t>
  </si>
  <si>
    <t>Low</t>
  </si>
  <si>
    <t>High</t>
  </si>
  <si>
    <t>Med</t>
  </si>
  <si>
    <t>TOTAL</t>
  </si>
  <si>
    <t>Residential</t>
  </si>
  <si>
    <t>Commercial</t>
  </si>
  <si>
    <t>AC</t>
  </si>
  <si>
    <t>Lighting</t>
  </si>
  <si>
    <t>Refrigeration</t>
  </si>
  <si>
    <t>Water Heating</t>
  </si>
  <si>
    <t>Education/Outreach</t>
  </si>
  <si>
    <t>Efficient</t>
  </si>
  <si>
    <t>Measures</t>
  </si>
  <si>
    <t>% houses participating</t>
  </si>
  <si>
    <t xml:space="preserve"># units per household </t>
  </si>
  <si>
    <t>Incentive per unit($)</t>
  </si>
  <si>
    <t>Device life (years)</t>
  </si>
  <si>
    <t>Column1</t>
  </si>
  <si>
    <t>Column2</t>
  </si>
  <si>
    <t>Measure</t>
  </si>
  <si>
    <t>Base Load</t>
  </si>
  <si>
    <t># free bulbs</t>
  </si>
  <si>
    <t>Wattage of bulbs equivalent</t>
  </si>
  <si>
    <t>Participation /year</t>
  </si>
  <si>
    <t>device life</t>
  </si>
  <si>
    <t>(greater than the study period)</t>
  </si>
  <si>
    <t xml:space="preserve">annual energy savings per </t>
  </si>
  <si>
    <t>Source</t>
  </si>
  <si>
    <t>IRP</t>
  </si>
  <si>
    <t xml:space="preserve">TOTAL REDUCTION RESIDENTIAL (from Measures): </t>
  </si>
  <si>
    <t>Calculation</t>
  </si>
  <si>
    <t># refrigerators/household</t>
  </si>
  <si>
    <t>% households participating</t>
  </si>
  <si>
    <t>Education/ Outreach</t>
  </si>
  <si>
    <t>% reached</t>
  </si>
  <si>
    <t>% energy saved</t>
  </si>
  <si>
    <t>Industrial makes up only ~13% of PR's elec load</t>
  </si>
  <si>
    <t>Notes:</t>
  </si>
  <si>
    <t>So lots of effort to target a small % of load</t>
  </si>
  <si>
    <t xml:space="preserve">But potential to still significantly reduce this load </t>
  </si>
  <si>
    <t>Industrial measures might have to be specially tailored to each customer</t>
  </si>
  <si>
    <t>Energy Use Forecast (for chart on dashboard)</t>
  </si>
  <si>
    <t>WAG</t>
  </si>
  <si>
    <t>IRP-Medium Case</t>
  </si>
  <si>
    <t>placeholder</t>
  </si>
  <si>
    <t>Avg Annual E savings (%/unit)</t>
  </si>
  <si>
    <t>Reduction via efficiency (%)</t>
  </si>
  <si>
    <t>Industrial</t>
  </si>
  <si>
    <t>Below is curve fitting to extrapolate 2039 and 2040 baseline data by sector based on the Siemens baseline that only extended to 2038</t>
  </si>
  <si>
    <t>Load Factor Calculations</t>
  </si>
  <si>
    <t>Sales</t>
  </si>
  <si>
    <t>Demand</t>
  </si>
  <si>
    <t>Load Fac</t>
  </si>
  <si>
    <t>Ind Sales</t>
  </si>
  <si>
    <t>Total Sales</t>
  </si>
  <si>
    <t>Peak</t>
  </si>
  <si>
    <t>Gross Gen</t>
  </si>
  <si>
    <t>Net Generation</t>
  </si>
  <si>
    <t>Net Load Factor</t>
  </si>
  <si>
    <t>Jan</t>
  </si>
  <si>
    <t>Feb</t>
  </si>
  <si>
    <t>Mar</t>
  </si>
  <si>
    <t>Apr</t>
  </si>
  <si>
    <t>May</t>
  </si>
  <si>
    <t>Jun</t>
  </si>
  <si>
    <t>Jul</t>
  </si>
  <si>
    <t>Aug</t>
  </si>
  <si>
    <t>Sep</t>
  </si>
  <si>
    <t>Oct</t>
  </si>
  <si>
    <t>Nov</t>
  </si>
  <si>
    <t>Dec</t>
  </si>
  <si>
    <t>CDD</t>
  </si>
  <si>
    <t>Total</t>
  </si>
  <si>
    <t>Source:</t>
  </si>
  <si>
    <t>High reduction</t>
  </si>
  <si>
    <t>Programs</t>
  </si>
  <si>
    <t>Energy Audit Promotion</t>
  </si>
  <si>
    <t>Building Codes</t>
  </si>
  <si>
    <t>ESCO Development Program</t>
  </si>
  <si>
    <t>Plug Loads</t>
  </si>
  <si>
    <t>Advanced Metering</t>
  </si>
  <si>
    <t>Appliance Financing Programs</t>
  </si>
  <si>
    <t>Heat Recovery</t>
  </si>
  <si>
    <t>EMS</t>
  </si>
  <si>
    <t>PREPA</t>
  </si>
  <si>
    <t>Net Load</t>
  </si>
  <si>
    <t>Peak demand for 8760 h</t>
  </si>
  <si>
    <t>Baseline multiplied by user high medium and low input on Dashboard</t>
  </si>
  <si>
    <t>IRP Gross Sales Demand by Customer Class 2-10</t>
  </si>
  <si>
    <t>Calculation from above</t>
  </si>
  <si>
    <t>IRP Stochastic Gross Sales</t>
  </si>
  <si>
    <t>IRP total energy demand for generation after EE (2-14) for total, multiplied by the same sector breakdown as in the baseline on this sheet</t>
  </si>
  <si>
    <t>Total is taken from Stochastic High Case, multiplied by sectoral percentages below</t>
  </si>
  <si>
    <t>Sectoral Breakdown with EE pp 2-13 IRP</t>
  </si>
  <si>
    <t>Percentage break down by Sector</t>
  </si>
  <si>
    <t>Assumed savings equally spread across sectors</t>
  </si>
  <si>
    <t>From IRP 2-16</t>
  </si>
  <si>
    <t>Gross Energy Sales with EE</t>
  </si>
  <si>
    <t xml:space="preserve">Reference </t>
  </si>
  <si>
    <t>% change</t>
  </si>
  <si>
    <t>Low Case</t>
  </si>
  <si>
    <t>Gross Energy Sales with EE and customer generation</t>
  </si>
  <si>
    <t>High Case</t>
  </si>
  <si>
    <t>Medium case data multiplied by factor derived below (applying % change between medium and high from IRP</t>
  </si>
  <si>
    <t>Medium case data multiplied by factor derived below (applying % change between medium and low from IRP</t>
  </si>
  <si>
    <t xml:space="preserve">Select EE Scenario: </t>
  </si>
  <si>
    <t>Insulation</t>
  </si>
  <si>
    <t>Domestic Hot Water</t>
  </si>
  <si>
    <t>Ceiling Fan</t>
  </si>
  <si>
    <t>Cool Roofs - Radiant barrier/ Reflective Roofs</t>
  </si>
  <si>
    <t>Med reduction</t>
  </si>
  <si>
    <t>Low reduction</t>
  </si>
  <si>
    <t>SF Low</t>
  </si>
  <si>
    <t>SF Medium</t>
  </si>
  <si>
    <t>SF High</t>
  </si>
  <si>
    <t>First Refrigerator (ESTAR)</t>
  </si>
  <si>
    <t>Saturation</t>
  </si>
  <si>
    <t>Annual Energy Use (kWh)</t>
  </si>
  <si>
    <t>Second Refrigerator (ESTAR)</t>
  </si>
  <si>
    <t>Freezer (Average FEMP)</t>
  </si>
  <si>
    <t>Average Refrigeration Energy Use per Building (kWh)</t>
  </si>
  <si>
    <t>Annual Refrigeration Energy Savings (kWh)</t>
  </si>
  <si>
    <t>Savings as a Percent of Refrigeration Energy</t>
  </si>
  <si>
    <t>Savings as a Percent of Total Energy</t>
  </si>
  <si>
    <t>USVI EE T</t>
  </si>
  <si>
    <t>First Refrigerator</t>
  </si>
  <si>
    <t>Second Refrigerator</t>
  </si>
  <si>
    <t>Freezer</t>
  </si>
  <si>
    <t>Average Refrigeration Energy Use per Unit (kWh)</t>
  </si>
  <si>
    <t>Baseline</t>
  </si>
  <si>
    <t>Cooling</t>
  </si>
  <si>
    <t>Room AC</t>
  </si>
  <si>
    <t>Efficiency (SEER)</t>
  </si>
  <si>
    <t>Packaged CAC</t>
  </si>
  <si>
    <t>Split AC</t>
  </si>
  <si>
    <t>Average Cooling Energy Use per Unit (kWh)</t>
  </si>
  <si>
    <t>Average Cooling Energy Use Per Building (kWh)</t>
  </si>
  <si>
    <t>Annual Cooling Energy Savings (kWh)</t>
  </si>
  <si>
    <t>Savings as a Percent of Cooling Energy</t>
  </si>
  <si>
    <t>Standard Electric</t>
  </si>
  <si>
    <t>Solar WH</t>
  </si>
  <si>
    <t>Tankless</t>
  </si>
  <si>
    <t>Heat Pump WH</t>
  </si>
  <si>
    <t>High Efficiency Electric Resistance (HEEWH)</t>
  </si>
  <si>
    <t>Average Water Heating Energy Use per Unit (kWh)</t>
  </si>
  <si>
    <t>Average Water Heating Energy Use per Building (kWh)</t>
  </si>
  <si>
    <t>Appliances</t>
  </si>
  <si>
    <t>Standard Dishwasher</t>
  </si>
  <si>
    <t>Standard Electric Cooking</t>
  </si>
  <si>
    <t>Propane Cooking</t>
  </si>
  <si>
    <t>Standard Clothes Washer</t>
  </si>
  <si>
    <t>Standard Clothes Dryer</t>
  </si>
  <si>
    <t>Microwave</t>
  </si>
  <si>
    <t>Television</t>
  </si>
  <si>
    <t># of Televisions</t>
  </si>
  <si>
    <t>Fans</t>
  </si>
  <si>
    <t>Average # of Standing Fans</t>
  </si>
  <si>
    <t>Average # of Ceiling Fans</t>
  </si>
  <si>
    <t>Average Appliance Energy Use per Unit (kWh)</t>
  </si>
  <si>
    <t>Average Appliance Energy Use per Building (kWh)</t>
  </si>
  <si>
    <t>Average Lighting Energy Use per Unit (kWh)</t>
  </si>
  <si>
    <t>Average Lighting Energy Use per Building (kWh)</t>
  </si>
  <si>
    <t>Building Envelope</t>
  </si>
  <si>
    <t>Average Energy Savings per Unit (kWh)</t>
  </si>
  <si>
    <t>Average Energy Savings per Building (kWh)</t>
  </si>
  <si>
    <t>Annual Water Heating Energy Savings (kWh)</t>
  </si>
  <si>
    <t>Savings as a Percent of WH Energy</t>
  </si>
  <si>
    <t>Electric Cooking</t>
  </si>
  <si>
    <t>Standard Dryer</t>
  </si>
  <si>
    <t>Annual Appliance Energy Savings (kWh)</t>
  </si>
  <si>
    <t>Savings as a Percent of Appliance Energy</t>
  </si>
  <si>
    <t>Annual Lighting Energy Savings (kWh)</t>
  </si>
  <si>
    <t>Savings as a Percent of Lighting Energy</t>
  </si>
  <si>
    <t>Average Total Energy Savings (kWh)</t>
  </si>
  <si>
    <t>USVIEET</t>
  </si>
  <si>
    <t>Total Fan Energy Use (kWh)</t>
  </si>
  <si>
    <t>Average Fan Energy Use per Building (kWh)</t>
  </si>
  <si>
    <t>Annual Fan Energy Savings (kWh)</t>
  </si>
  <si>
    <t>Savings as a Percent of Fan Energy</t>
  </si>
  <si>
    <t>Front Loading Clothes Washer</t>
  </si>
  <si>
    <t>Average Clothes Washer Energy Use per Building (kWh)</t>
  </si>
  <si>
    <t>Annual Clothes Washer Energy Savings (kWh)</t>
  </si>
  <si>
    <t>Savings as a Percent of Clothes Washer Energy</t>
  </si>
  <si>
    <t>Total Clothes Washer E Use (kWh)</t>
  </si>
  <si>
    <t>ON OR OFF</t>
  </si>
  <si>
    <t>ON</t>
  </si>
  <si>
    <t>OFF</t>
  </si>
  <si>
    <t xml:space="preserve">Clothes Washer </t>
  </si>
  <si>
    <t>Clothes Dryer</t>
  </si>
  <si>
    <t>Total Clothes Dryer E Use (kWh)</t>
  </si>
  <si>
    <t>Total % of current residential load</t>
  </si>
  <si>
    <t>MF Low</t>
  </si>
  <si>
    <t>MF Medium</t>
  </si>
  <si>
    <t>MF High</t>
  </si>
  <si>
    <t>&lt;--Placeholder</t>
  </si>
  <si>
    <t>Multifamily Units Per Building</t>
  </si>
  <si>
    <t>Total Building Clothes Washer Energy Use (kWh)</t>
  </si>
  <si>
    <t>Total Building Clothes Dryer Energy Use (kWh)</t>
  </si>
  <si>
    <t>Total Building Fan Energy Use (kWh)</t>
  </si>
  <si>
    <t>Total Building Lighting Energy Use (kWh)</t>
  </si>
  <si>
    <t>Cool/ Reflective Roof</t>
  </si>
  <si>
    <t>% adoption</t>
  </si>
  <si>
    <t>Total Unit Savings</t>
  </si>
  <si>
    <t>Total Unit % Savings</t>
  </si>
  <si>
    <t>Total % Savings</t>
  </si>
  <si>
    <t>Total % Savings w/o Cool Roof</t>
  </si>
  <si>
    <t>Total % Savings w/ Cool Roof</t>
  </si>
  <si>
    <t>Insulation (w Cool roof) (Added benefit)</t>
  </si>
  <si>
    <t>Insulation alone (w/o Cool roof)</t>
  </si>
  <si>
    <t>Cool/ Reflective Roof alone</t>
  </si>
  <si>
    <t>Cool/ Reflective Roof w/ Insulation (added benefit)</t>
  </si>
  <si>
    <t>USVIEET BEOpt</t>
  </si>
  <si>
    <t>N/A</t>
  </si>
  <si>
    <t xml:space="preserve">Aznar, Gagne LMI paper: https://www.osti.gov/biblio/1509978 </t>
  </si>
  <si>
    <t>Count</t>
  </si>
  <si>
    <t>Average E savings</t>
  </si>
  <si>
    <t>Weighted Average</t>
  </si>
  <si>
    <t>Difference in averages</t>
  </si>
  <si>
    <t>Baseline E use</t>
  </si>
  <si>
    <t>GWh</t>
  </si>
  <si>
    <t>% of industrial load total (2018)</t>
  </si>
  <si>
    <t>2.2622 REPLACE EXISTING CHILLER WITH HIGH EFFICIENCY MODEL</t>
  </si>
  <si>
    <t/>
  </si>
  <si>
    <t>2.7425 CLEAN OR COLOR ROOF TO REDUCE SOLAR LOAD</t>
  </si>
  <si>
    <t>2.4146 USE ADJUSTABLE FREQUENCY DRIVE OR MULTIPLE SPEED MOTORS ON EXISTING SYSTEM</t>
  </si>
  <si>
    <t>2.2437 RECOVER WASTE HEAT FROM EQUIPMENT</t>
  </si>
  <si>
    <t>2.4133 USE MOST EFFICIENT TYPE OF ELECTRIC MOTORS</t>
  </si>
  <si>
    <t>2.1233 ANALYZE FLUE GAS FOR PROPER AIR/FUEL RATIO</t>
  </si>
  <si>
    <t>2.4236 ELIMINATE LEAKS IN INERT GAS AND COMPRESSED AIR LINES/ VALVES</t>
  </si>
  <si>
    <t>2.1243 USE HEAT FROM BOILER BLOWDOWN TO PREHEAT BOILER FEED WATER</t>
  </si>
  <si>
    <t>2.2414 USE WASTE HEAT FROM HOT FLUE GASES TO PREHEAT</t>
  </si>
  <si>
    <t>2.9112 USE SOLAR HEAT TO HEAT WATER</t>
  </si>
  <si>
    <t>2.4239 ELIMINATE OR REDUCE COMPRESSED AIR USAGE</t>
  </si>
  <si>
    <t>2.7447 INSTALL VINYL STRIP / HIGH SPEED / AIR CURTAIN DOORS</t>
  </si>
  <si>
    <t>2.7221 LOWER TEMPERATURE DURING THE WINTER SEASON AND VICE-VERSA</t>
  </si>
  <si>
    <t>2.3415 USE A FOSSIL FUEL ENGINE TO COGENERATE ELECTRICITY OR MOTIVE POWER; AND UTILIZE HEAT</t>
  </si>
  <si>
    <t>2.4321 UPGRADE OBSOLETE EQUIPMENT</t>
  </si>
  <si>
    <t>2.8123 PAY UTILITY BILLS ON TIME</t>
  </si>
  <si>
    <t>2.8114 CHANGE RATE SCHEDULES OR OTHER CHANGES IN UTILITY SERVICE</t>
  </si>
  <si>
    <t>2.2423 INSTALL WASTE HEAT BOILER TO PRODUCE STEAM</t>
  </si>
  <si>
    <t>3.2161 CLOSELY MONITOR CHEMICAL ADDITIONS TO INCREASE BATH LIFE</t>
  </si>
  <si>
    <t>2.7142 UTILIZE HIGHER EFFICIENCY LAMPS AND/OR BALLASTS</t>
  </si>
  <si>
    <t>2.2113 REPAIR OR REPLACE STEAM TRAPS</t>
  </si>
  <si>
    <t>2.4323 USE OPTIMUM SIZE AND CAPACITY EQUIPMENT</t>
  </si>
  <si>
    <t>2.7252 UTILIZE AN EVAPORATIVE AIR PRE-COOLER OR OTHER HEAT EXCHANGER IN AC SYSTEM</t>
  </si>
  <si>
    <t>2.6218 TURN OFF EQUIPMENT WHEN NOT IN USE</t>
  </si>
  <si>
    <t>2.3212 OPTIMIZE PLANT POWER FACTOR</t>
  </si>
  <si>
    <t>2.7135 INSTALL OCCUPANCY SENSORS</t>
  </si>
  <si>
    <t>2.6127 MAINTAIN AIR FILTERS BY CLEANING OR REPLACEMENT</t>
  </si>
  <si>
    <t>2.2522 ISOLATE HOT OR COLD EQUIPMENT</t>
  </si>
  <si>
    <t>2.7491 INSULATE GLAZING, WALLS, CEILINGS, AND ROOFS</t>
  </si>
  <si>
    <t>2.2443 RE-USE OR RECYCLE HOT OR COLD PROCESS EXHAUST AIR</t>
  </si>
  <si>
    <t>2.7496 INSTALL PARTITIONS TO REDUCE SIZE OF CONDITIONED SPACE</t>
  </si>
  <si>
    <t>2.2136 INSTALL / REPAIR INSULATION ON STEAM LINES</t>
  </si>
  <si>
    <t>2.7121 UTILIZE DAYLIGHT WHENEVER POSSIBLE IN LIEU OF ARTIFICIAL LIGHT</t>
  </si>
  <si>
    <t>2.4322 USE OR REPLACE WITH ENERGY EFFICIENT SUBSTITUTES</t>
  </si>
  <si>
    <t>2.7228 AVOID INTRODUCING HOT, HUMID, OR DIRTY AIR INTO HVAC SYSTEM</t>
  </si>
  <si>
    <t>2.7134 USE PHOTOCELL CONTROLS</t>
  </si>
  <si>
    <t>2.4111 UTILIZE ENERGY-EFFICIENT BELTS AND OTHER IMPROVED MECHANISMS</t>
  </si>
  <si>
    <t>2.2628 UTILIZE A LESS EXPENSIVE COOLING METHOD</t>
  </si>
  <si>
    <t>2.7444 CLOSE HOLES AND OPENINGS IN BUILDING SUCH AS BROKEN WINDOWS</t>
  </si>
  <si>
    <t>2.2515 USE OPTIMUM THICKNESS INSULATION</t>
  </si>
  <si>
    <t>2.7232 REPLACE EXISTING HVAC UNIT WITH HIGH EFFICIENCY MODEL</t>
  </si>
  <si>
    <t>3.4159 REPLACE TREATED WATER WITH WELL / SURFACE WATER</t>
  </si>
  <si>
    <t>2.1241 REDUCE EXCESSIVE BOILER BLOWDOWN</t>
  </si>
  <si>
    <t>Total  Energy Used by these</t>
  </si>
  <si>
    <t>Total Energy % savings among all</t>
  </si>
  <si>
    <t>Linear</t>
  </si>
  <si>
    <t>S curve % of 100%</t>
  </si>
  <si>
    <t>S curve E savings %</t>
  </si>
  <si>
    <t>100% adoption</t>
  </si>
  <si>
    <t>% Adoption</t>
  </si>
  <si>
    <t>S-Curve</t>
  </si>
  <si>
    <t>Total % Sector Savings</t>
  </si>
  <si>
    <t>IRP Industrial Estimates</t>
  </si>
  <si>
    <t>Faucet Aerators</t>
  </si>
  <si>
    <t>Low flow showerheads</t>
  </si>
  <si>
    <t>Total Housing Units</t>
  </si>
  <si>
    <t>Occupied Housing Units</t>
  </si>
  <si>
    <t># of single family units</t>
  </si>
  <si>
    <t># of multi family units</t>
  </si>
  <si>
    <t># of units per MF building</t>
  </si>
  <si>
    <t>% of total</t>
  </si>
  <si>
    <t>Dishwasher</t>
  </si>
  <si>
    <t>Elec Cooking</t>
  </si>
  <si>
    <t>Total Energy Use per Unit (kWh)</t>
  </si>
  <si>
    <t>Total Energy Use per Building (kWh)</t>
  </si>
  <si>
    <t>TV</t>
  </si>
  <si>
    <t>Standing Fans</t>
  </si>
  <si>
    <t>Other Misc Loads</t>
  </si>
  <si>
    <t>PREAT</t>
  </si>
  <si>
    <t>AC Window To Window</t>
  </si>
  <si>
    <t>Window AC to Split Ductless</t>
  </si>
  <si>
    <t>Baseline (kWh/year)</t>
  </si>
  <si>
    <t>Efficient (kWh/year)</t>
  </si>
  <si>
    <t>Savings (kWh/year)</t>
  </si>
  <si>
    <t>Water Heater - Electric Tank to Efficient Tank Btu/day</t>
  </si>
  <si>
    <t>Btu to kWh</t>
  </si>
  <si>
    <t>Water Heater - Electric Tank to Tankless</t>
  </si>
  <si>
    <t>Water Heater Electric Tank to Solar w/ Pump</t>
  </si>
  <si>
    <t>Water Heater Electric tank to Solar w/o Pump</t>
  </si>
  <si>
    <t>Water Heater Tankless to Solar w/ Pump</t>
  </si>
  <si>
    <t>Water Heater Tankless to Solar w/o Pump</t>
  </si>
  <si>
    <t>Refrigerator - Side by Side to Side by Side</t>
  </si>
  <si>
    <t>Top Freezer to Top Freezer</t>
  </si>
  <si>
    <t>User Input and below</t>
  </si>
  <si>
    <t>Case</t>
  </si>
  <si>
    <t>Puerto Rico Building Association contracted with the Puerto Rico Energy Center at the University of Turabo - Energy Consumption Modeling for Social Interest House</t>
  </si>
  <si>
    <t>C</t>
  </si>
  <si>
    <t>D</t>
  </si>
  <si>
    <t>G</t>
  </si>
  <si>
    <t>I</t>
  </si>
  <si>
    <t>A (Base)</t>
  </si>
  <si>
    <t>1) Concrete 5in 2) Paint Coating</t>
  </si>
  <si>
    <t>R-0.44</t>
  </si>
  <si>
    <t>Roof Envelope Description</t>
  </si>
  <si>
    <t>Roof R-Value</t>
  </si>
  <si>
    <t>A/C (Quantity)</t>
  </si>
  <si>
    <t>Water Heater (electric or Solar)</t>
  </si>
  <si>
    <t>Window SHGC</t>
  </si>
  <si>
    <t>Window Overhangs (PF=0.5)</t>
  </si>
  <si>
    <t>Annual Cooling Electricity (kWh)</t>
  </si>
  <si>
    <t>Annual Total Electricity (kWh)</t>
  </si>
  <si>
    <t>Annual Energy Cost ($)</t>
  </si>
  <si>
    <t>Annual Energy Savings ($)</t>
  </si>
  <si>
    <t>Elec</t>
  </si>
  <si>
    <t>B</t>
  </si>
  <si>
    <t>E</t>
  </si>
  <si>
    <t>F</t>
  </si>
  <si>
    <t>H</t>
  </si>
  <si>
    <t>J</t>
  </si>
  <si>
    <t>K</t>
  </si>
  <si>
    <t>L</t>
  </si>
  <si>
    <t>iecc 2009</t>
  </si>
  <si>
    <t>1) Cool Roof 2) Concrete 5 in 3) Paint Coating</t>
  </si>
  <si>
    <t>1) Cool Roof 2) R-5 Insulation 3) Concrete 5 in 4) Paint Coating</t>
  </si>
  <si>
    <t>1) Roof with 30° slope 2) Attic (acoustic ceiling)</t>
  </si>
  <si>
    <t>1) Cool Roof 2) Roof w/ 30° slope 3) Attic (acoustic ceiling)</t>
  </si>
  <si>
    <t>1) Roof with 30° slope only</t>
  </si>
  <si>
    <t xml:space="preserve">1) Cool Roof 2) Roof w/ 30° slope </t>
  </si>
  <si>
    <t>1) 9ft tall concrete roof</t>
  </si>
  <si>
    <t>1) Cool Roof 2) 9 ft tall concrete roof</t>
  </si>
  <si>
    <t>R-30</t>
  </si>
  <si>
    <t>R-15</t>
  </si>
  <si>
    <t>Solar</t>
  </si>
  <si>
    <t>A--&gt;B</t>
  </si>
  <si>
    <t>Roof Insulation and Window Upgrades</t>
  </si>
  <si>
    <t>Total kWh savings</t>
  </si>
  <si>
    <t>Cooling kWh savings</t>
  </si>
  <si>
    <t>A--&gt;C</t>
  </si>
  <si>
    <t># AC</t>
  </si>
  <si>
    <t>Cool roof (R-0.44--&gt; R-15) + Solar water heater</t>
  </si>
  <si>
    <t xml:space="preserve">Cool roof only </t>
  </si>
  <si>
    <t xml:space="preserve">Baseline E total </t>
  </si>
  <si>
    <t>Basline Cooling E</t>
  </si>
  <si>
    <t>% of cooling savings</t>
  </si>
  <si>
    <t>% of total savings</t>
  </si>
  <si>
    <t>L--&gt;C</t>
  </si>
  <si>
    <t xml:space="preserve">Cool Roof added to 30° roof and attic </t>
  </si>
  <si>
    <t>F--&gt;G</t>
  </si>
  <si>
    <t>Cool Roof added to 30° roof (no attic)</t>
  </si>
  <si>
    <t>H--&gt; I</t>
  </si>
  <si>
    <t>J--&gt;K</t>
  </si>
  <si>
    <t>Cool Roof added to 9ft tall concrete ceiling</t>
  </si>
  <si>
    <t>Solar Water Heater</t>
  </si>
  <si>
    <t>A--&gt;L</t>
  </si>
  <si>
    <t>Solar Water Heater IECC 2009</t>
  </si>
  <si>
    <t>B--&gt;E</t>
  </si>
  <si>
    <t>%</t>
  </si>
  <si>
    <t>RESSTOCK (FL)</t>
  </si>
  <si>
    <t>PRBA/PREC U of T</t>
  </si>
  <si>
    <t>Background Data</t>
  </si>
  <si>
    <t>-</t>
  </si>
  <si>
    <t>Set % Adoption Here:</t>
  </si>
  <si>
    <t>MF Use Per House</t>
  </si>
  <si>
    <t>Cooking</t>
  </si>
  <si>
    <t>Clothes Washing</t>
  </si>
  <si>
    <t>Upgrade Window Unit from SEER 8.5 to Split Unit SEER 18.0</t>
  </si>
  <si>
    <t>Horizontal Axis Clothes Washer</t>
  </si>
  <si>
    <t>Total Annual Energy Savings (kWh)</t>
  </si>
  <si>
    <t>Total Energy Savings as a Percent of Total Energy</t>
  </si>
  <si>
    <t>Housing Data</t>
  </si>
  <si>
    <t>Population</t>
  </si>
  <si>
    <t>Population Growth Rate</t>
  </si>
  <si>
    <t># houses for seasonal, recreational, or occasional use</t>
  </si>
  <si>
    <t>% vacation homes (i.e., % of SF High buildings not fully occupied)</t>
  </si>
  <si>
    <t>% of time vacation homes occupied</t>
  </si>
  <si>
    <t>% of new construction per year</t>
  </si>
  <si>
    <t>% of teardowns per year</t>
  </si>
  <si>
    <t># net new SF units per year</t>
  </si>
  <si>
    <t># net new MF units per year</t>
  </si>
  <si>
    <t>Current Code</t>
  </si>
  <si>
    <t>IECC 2012</t>
  </si>
  <si>
    <t>Future Desired Code</t>
  </si>
  <si>
    <t>IECC 2015</t>
  </si>
  <si>
    <t># of retrofits per year</t>
  </si>
  <si>
    <t>Total Buildings</t>
  </si>
  <si>
    <t>Weighted Average (SF)</t>
  </si>
  <si>
    <t>Weighted Average of all Buildings</t>
  </si>
  <si>
    <t>Weighted Average of All Units</t>
  </si>
  <si>
    <t>MF Buildings</t>
  </si>
  <si>
    <t xml:space="preserve">Green Building Code </t>
  </si>
  <si>
    <t>Default Assumption</t>
  </si>
  <si>
    <t>Upgrade Split Unit from SEER 12.5 to SEER 18.0</t>
  </si>
  <si>
    <t>Upgrade to Energy Star Unit</t>
  </si>
  <si>
    <t>Standard Electric to Tankless</t>
  </si>
  <si>
    <t>Standard Electric to Heat Pump</t>
  </si>
  <si>
    <t>Standard Electric to High Efficiency</t>
  </si>
  <si>
    <t>Standard Electric to New Standard Electric</t>
  </si>
  <si>
    <t>Tankless to Heat Pump</t>
  </si>
  <si>
    <t xml:space="preserve">Tankless to High Efficiency Electric Resistance </t>
  </si>
  <si>
    <t>Upgrade to more efficient standing fans</t>
  </si>
  <si>
    <t>Upgrade to more efficient ceiling fans</t>
  </si>
  <si>
    <t>Upgrade standing fans to ceiling fans</t>
  </si>
  <si>
    <t>Standard clothes washer to horizontal axis washer</t>
  </si>
  <si>
    <t>Upgrade to new standard dryer</t>
  </si>
  <si>
    <t>Scenario</t>
  </si>
  <si>
    <t xml:space="preserve">MF Low </t>
  </si>
  <si>
    <t xml:space="preserve">SF Weighted Average </t>
  </si>
  <si>
    <t>Building Weighted Average</t>
  </si>
  <si>
    <t>Unit weighted average</t>
  </si>
  <si>
    <t>Incandescent E Use</t>
  </si>
  <si>
    <t>Incandescent 60 W</t>
  </si>
  <si>
    <t>14 W CFL</t>
  </si>
  <si>
    <t>7 W LED</t>
  </si>
  <si>
    <t>Entire Building Incandescent to CFL</t>
  </si>
  <si>
    <t>Entire Building Incandescent to LED</t>
  </si>
  <si>
    <t>Entire Building CFL to LED</t>
  </si>
  <si>
    <t>Insulation Savings (kWh)</t>
  </si>
  <si>
    <t>Roof Reflectivity Savings (kWh)</t>
  </si>
  <si>
    <t>Insulation + Roof Savings (kWh)</t>
  </si>
  <si>
    <t>Wall Insulation Savings (kWh)</t>
  </si>
  <si>
    <t>Add Reflective Roof</t>
  </si>
  <si>
    <t>Add Insulation and Reflective Roof</t>
  </si>
  <si>
    <t>Add Insulation to Roof &amp; Walls</t>
  </si>
  <si>
    <t>Envelope</t>
  </si>
  <si>
    <t>Universal Solar SHW data</t>
  </si>
  <si>
    <t xml:space="preserve">Installations </t>
  </si>
  <si>
    <t>2017 estimated</t>
  </si>
  <si>
    <t>Low Income</t>
  </si>
  <si>
    <t>High Income</t>
  </si>
  <si>
    <t>Refridgerator</t>
  </si>
  <si>
    <t xml:space="preserve">Low Income </t>
  </si>
  <si>
    <t>Baseline kWh</t>
  </si>
  <si>
    <t>Savings kWh</t>
  </si>
  <si>
    <t>Baseline % of Total</t>
  </si>
  <si>
    <t xml:space="preserve">assume 40 bulb hours operation per day - seems high </t>
  </si>
  <si>
    <t>low income 50/50 CFL incandescent split, high income 50/50 CFL/LED split</t>
  </si>
  <si>
    <t>CFL-LED 3 kWH/year savings</t>
  </si>
  <si>
    <t>Halogen to LED 30 kWh/year savings</t>
  </si>
  <si>
    <t>Water Heater (Elec tank to Solar)</t>
  </si>
  <si>
    <t>Water Heater (Elec Tank to Heat Pump)</t>
  </si>
  <si>
    <t>3000 kWh avg/ elec tank WH</t>
  </si>
  <si>
    <t xml:space="preserve">could save 17% of res elec load, 8% total from WH upgrades </t>
  </si>
  <si>
    <t>Cooling (window to high eff window)</t>
  </si>
  <si>
    <t>Stakeholder Workshop 3 Data (Asa Hopkins, Synapse Energy)</t>
  </si>
  <si>
    <t>58, 14, 9.5</t>
  </si>
  <si>
    <t xml:space="preserve">Upgrade window units to EER 12 units </t>
  </si>
  <si>
    <t>AC Upgrade Existing to 12 EER units</t>
  </si>
  <si>
    <t>Lifetime</t>
  </si>
  <si>
    <t>Annual Participation</t>
  </si>
  <si>
    <t>Units/Household</t>
  </si>
  <si>
    <t>Incentive</t>
  </si>
  <si>
    <t>5 free LED bulbs</t>
  </si>
  <si>
    <t>&gt;19</t>
  </si>
  <si>
    <t>Operation</t>
  </si>
  <si>
    <t>2 h/bulb/day</t>
  </si>
  <si>
    <t>Annual savings (kWh) per household</t>
  </si>
  <si>
    <t>RESSTOCK Florida</t>
  </si>
  <si>
    <t>Replace electric furnace with high efficiency Heat Pump</t>
  </si>
  <si>
    <t>Replace electric water heater with heat pump water heater</t>
  </si>
  <si>
    <t>LED lighting</t>
  </si>
  <si>
    <t>Upgrade to SEER 18 Central AC</t>
  </si>
  <si>
    <t>Smart Thermostat</t>
  </si>
  <si>
    <t>Duct Sealing and Insulation</t>
  </si>
  <si>
    <t>Replace electric baseboard heat with ductless HP</t>
  </si>
  <si>
    <t>R-38 Attic insulation</t>
  </si>
  <si>
    <t>Energy Star room AC EER 12</t>
  </si>
  <si>
    <t>Low-E storm windows</t>
  </si>
  <si>
    <t>Per House $ Savings</t>
  </si>
  <si>
    <t>Statewide $ Savings</t>
  </si>
  <si>
    <t>Statewide kWh savings</t>
  </si>
  <si>
    <t>Household kWh savings</t>
  </si>
  <si>
    <t>Cost effective homes %</t>
  </si>
  <si>
    <t xml:space="preserve">Applicable to </t>
  </si>
  <si>
    <t>Cost $</t>
  </si>
  <si>
    <t>Add R-38 attic insulation</t>
  </si>
  <si>
    <t>% SF buildings</t>
  </si>
  <si>
    <t>% MF buildings</t>
  </si>
  <si>
    <t>IRP FORECAST WITH ENERGY EFFICIENCY ONLY</t>
  </si>
  <si>
    <t>IRP FORECAST WITH ENERGY EFFICIENCY and DG and DR</t>
  </si>
  <si>
    <t>Dehumidification only</t>
  </si>
  <si>
    <t>replace window AC units with dehumidifiers</t>
  </si>
  <si>
    <t>Install low-E storm windows</t>
  </si>
  <si>
    <t>PERCENT SAVINGS</t>
  </si>
  <si>
    <t>Asa Hopkins Stakeholder Workshop</t>
  </si>
  <si>
    <t>For source data, see "IAC Industrial Averages" Tab</t>
  </si>
  <si>
    <t>Small Office</t>
  </si>
  <si>
    <t>Pumps</t>
  </si>
  <si>
    <t>Electricity (kWh)</t>
  </si>
  <si>
    <t>Heating</t>
  </si>
  <si>
    <t>Interior Lighting</t>
  </si>
  <si>
    <t>Exterior Lighting</t>
  </si>
  <si>
    <t>Interior Equipment</t>
  </si>
  <si>
    <t>Exterior Equipment</t>
  </si>
  <si>
    <t>Heat Rejection</t>
  </si>
  <si>
    <t>Humidification</t>
  </si>
  <si>
    <t>Water Systems</t>
  </si>
  <si>
    <t>Generators</t>
  </si>
  <si>
    <t>Post 1980</t>
  </si>
  <si>
    <t>Pre 1980</t>
  </si>
  <si>
    <t>New</t>
  </si>
  <si>
    <t>Warehouse</t>
  </si>
  <si>
    <t>Hospitals</t>
  </si>
  <si>
    <t>Lg Office</t>
  </si>
  <si>
    <t>Medium Office</t>
  </si>
  <si>
    <t>Lg Hotel</t>
  </si>
  <si>
    <t>Small Hotel</t>
  </si>
  <si>
    <t>MidRiseApt</t>
  </si>
  <si>
    <t>2nd School</t>
  </si>
  <si>
    <t>Primary School</t>
  </si>
  <si>
    <t>Standalone Retail</t>
  </si>
  <si>
    <t>Quick Service Restaurant</t>
  </si>
  <si>
    <t>Supermarket</t>
  </si>
  <si>
    <t>EUI (kWh/sqft)</t>
  </si>
  <si>
    <t>Education</t>
  </si>
  <si>
    <t>Outpatient</t>
  </si>
  <si>
    <t>Lodging</t>
  </si>
  <si>
    <t>Ventilation</t>
  </si>
  <si>
    <t>Baseline Total % of current residential load</t>
  </si>
  <si>
    <t>Measures by End-Use</t>
  </si>
  <si>
    <t>USVI Baseline Energy Consumption</t>
  </si>
  <si>
    <t>USVI Efficient Scenario</t>
  </si>
  <si>
    <t>type of utility customer, e.g. residential, commercial, industrial</t>
  </si>
  <si>
    <t>the category of services for a homeowner, e.g. space cooling with air conditioners</t>
  </si>
  <si>
    <t>End-use</t>
  </si>
  <si>
    <t>group of energy conservation measures that could be implemented across and end-use</t>
  </si>
  <si>
    <t>technology option for reducing energy consumption</t>
  </si>
  <si>
    <t>Terminology and Definitions</t>
  </si>
  <si>
    <t>ADOPTION %*</t>
  </si>
  <si>
    <t>Realized Savings</t>
  </si>
  <si>
    <t>USE ADJUSTABLE FREQUENCY DRIVE MOTORS</t>
  </si>
  <si>
    <t>Use adjustable frequency drive motors</t>
  </si>
  <si>
    <t>INSTALL / REPAIR INSULATION ON STEAM LINES</t>
  </si>
  <si>
    <t>Install / repair insulation on steam lines</t>
  </si>
  <si>
    <t>IMPLEMENT ENERGY MONITORING SYSTEM</t>
  </si>
  <si>
    <t>Implement energy monitoring system</t>
  </si>
  <si>
    <t>CLEAN OR COLOR ROOF TO REDUCE SOLAR LOAD</t>
  </si>
  <si>
    <t>Clean or color roof to reduce solar load</t>
  </si>
  <si>
    <t>INSULATE GLAZING, WALLS, CEILINGS, AND ROOFS</t>
  </si>
  <si>
    <t>Insulate glazing, walls, ceilings, and roofs</t>
  </si>
  <si>
    <t>TURN OFF EQUIPMENT WHEN NOT IN USE</t>
  </si>
  <si>
    <t>Turn off equipment when not in use</t>
  </si>
  <si>
    <t>CLOSE HOLES AND OPENINGS IN BUILDING</t>
  </si>
  <si>
    <t>Close holes and openings in building</t>
  </si>
  <si>
    <t>HIRE ENERGY PROGRAM MANAGEMENT</t>
  </si>
  <si>
    <t>Hire energy program management</t>
  </si>
  <si>
    <t>UTILIZE AN EVAPORATIVE AIR PRE-COOLER</t>
  </si>
  <si>
    <t>Utilize an evaporative air pre-cooler</t>
  </si>
  <si>
    <t>REPLACE CHILLER WITH HIGH EFFICIENCY MODEL</t>
  </si>
  <si>
    <t>Replace chiller with high efficiency model</t>
  </si>
  <si>
    <t>INSTALL WASTE HEAT BOILER TO PRODUCE STEAM</t>
  </si>
  <si>
    <t>Install waste heat boiler to produce steam</t>
  </si>
  <si>
    <t>USE A FOSSIL FUEL ENGINE TO COGENERATE</t>
  </si>
  <si>
    <t>Use a fossil fuel engine to cogenerate</t>
  </si>
  <si>
    <t>IMPLEMENT ENERGY MONITORING SYSTEM****</t>
  </si>
  <si>
    <t>HIRE (IN HOUSE OR CONTRACT) ENERGY PROGRAM MANAGEMENT****</t>
  </si>
  <si>
    <t>Key:</t>
  </si>
  <si>
    <t>* "% ADOPTION" refers to the percentage adoption among those customers for whom the measure is viable</t>
  </si>
  <si>
    <t xml:space="preserve">** "% VIABLE" refers to the percentage of industrial customers for whom this measure is financially viable. Some may have already taken this measure. It may not apply to others. Or it may just not be cost effective for others. </t>
  </si>
  <si>
    <t>*** IAC value adjusted based on feedback provided from local industry experts</t>
  </si>
  <si>
    <t>**** Not included in IAC audits. Added based on conversation with local industry experts</t>
  </si>
  <si>
    <t>USE OR REPLACE WITH ENERGY EFFICIENT SUBSTITUTES</t>
  </si>
  <si>
    <t>Use energy efficient substitutes</t>
  </si>
  <si>
    <t>UTILIZE AN EVAPORATIVE AIR PRE-COOLER OR OTHER HEAT EXCHANGER IN AC SYSTEM</t>
  </si>
  <si>
    <t>REPLACE EXISTING CHILLER WITH HIGH EFFICIENCY MODEL</t>
  </si>
  <si>
    <t>UTILIZE HIGHER EFFICIENCY LAMPS AND/OR BALLASTS</t>
  </si>
  <si>
    <t>Utilize higher efficiency lamps/ballasts</t>
  </si>
  <si>
    <t>ELIMINATE LEAKS IN INERT GAS AND COMPRESSED AIR LINES/ VALVES</t>
  </si>
  <si>
    <t>Eliminate leaks in gas and air lines/valves</t>
  </si>
  <si>
    <t>LOWER TEMPERATURE DURING THE WINTER SEASON AND VICE-VERSA</t>
  </si>
  <si>
    <t>Adjust seasonal temperature setpoints</t>
  </si>
  <si>
    <t>USE ADJUSTABLE FREQUENCY DRIVE OR MULTIPLE SPEED MOTORS ON EXISTING SYSTEM</t>
  </si>
  <si>
    <t>% viable</t>
  </si>
  <si>
    <r>
      <t>"commercial"</t>
    </r>
    <r>
      <rPr>
        <sz val="12"/>
        <color rgb="FF24292E"/>
        <rFont val="Consolas"/>
        <family val="2"/>
      </rPr>
      <t xml:space="preserve">: </t>
    </r>
    <r>
      <rPr>
        <sz val="12"/>
        <color rgb="FF032F62"/>
        <rFont val="Consolas"/>
        <family val="2"/>
      </rPr>
      <t>"Source 1 (Table 1) used to map from EnergyPlus building reference type to CBECs</t>
    </r>
  </si>
  <si>
    <r>
      <t>"residential"</t>
    </r>
    <r>
      <rPr>
        <sz val="12"/>
        <color rgb="FF24292E"/>
        <rFont val="Consolas"/>
        <family val="2"/>
      </rPr>
      <t xml:space="preserve">: </t>
    </r>
    <r>
      <rPr>
        <sz val="12"/>
        <color rgb="FF032F62"/>
        <rFont val="Consolas"/>
        <family val="2"/>
      </rPr>
      <t>"Single-Family and Multifamily are EnergyPlus model names cited in the source, but are not yet formal EnergyPlus reference building types"</t>
    </r>
    <r>
      <rPr>
        <sz val="12"/>
        <color rgb="FF24292E"/>
        <rFont val="Consolas"/>
        <family val="2"/>
      </rPr>
      <t>,</t>
    </r>
  </si>
  <si>
    <r>
      <t>"notes"</t>
    </r>
    <r>
      <rPr>
        <sz val="12"/>
        <color rgb="FF24292E"/>
        <rFont val="Consolas"/>
        <family val="2"/>
      </rPr>
      <t>: {</t>
    </r>
  </si>
  <si>
    <r>
      <t>"commercial"</t>
    </r>
    <r>
      <rPr>
        <sz val="12"/>
        <color rgb="FF24292E"/>
        <rFont val="Consolas"/>
        <family val="2"/>
      </rPr>
      <t xml:space="preserve">: </t>
    </r>
    <r>
      <rPr>
        <sz val="12"/>
        <color rgb="FF032F62"/>
        <rFont val="Consolas"/>
        <family val="2"/>
      </rPr>
      <t>"1) Deru et al., U.S. Department of Energy Commercial Reference Building Models of the National Building Stock, 2011, Tables 1 and 13, 2) EIA, Commercial Buildings Energy Consumption Survey (CBECs), Building Definitions, 3) Navigant Consulting, Analysis and Representation of Miscellaneous Electric Loads in NEMS, 2013, p.18"</t>
    </r>
    <r>
      <rPr>
        <sz val="12"/>
        <color rgb="FF24292E"/>
        <rFont val="Consolas"/>
        <family val="2"/>
      </rPr>
      <t>},</t>
    </r>
  </si>
  <si>
    <r>
      <t>"residential"</t>
    </r>
    <r>
      <rPr>
        <sz val="12"/>
        <color rgb="FF24292E"/>
        <rFont val="Consolas"/>
        <family val="2"/>
      </rPr>
      <t xml:space="preserve">: </t>
    </r>
    <r>
      <rPr>
        <sz val="12"/>
        <color rgb="FF032F62"/>
        <rFont val="Consolas"/>
        <family val="2"/>
      </rPr>
      <t>"U.S. Department of Energy, National Energy and Cost Savings for Single-and Multifamily Homes: A Comparison of the 2006, 2009, and 2012 Editions of the IECC, 2012, p.A.2"</t>
    </r>
    <r>
      <rPr>
        <sz val="12"/>
        <color rgb="FF24292E"/>
        <rFont val="Consolas"/>
        <family val="2"/>
      </rPr>
      <t>,</t>
    </r>
  </si>
  <si>
    <r>
      <t>"source"</t>
    </r>
    <r>
      <rPr>
        <sz val="12"/>
        <color rgb="FF24292E"/>
        <rFont val="Consolas"/>
        <family val="2"/>
      </rPr>
      <t>: {</t>
    </r>
  </si>
  <si>
    <r>
      <t>"other"</t>
    </r>
    <r>
      <rPr>
        <sz val="12"/>
        <color rgb="FF24292E"/>
        <rFont val="Consolas"/>
        <family val="2"/>
      </rPr>
      <t xml:space="preserve">: </t>
    </r>
    <r>
      <rPr>
        <sz val="12"/>
        <color rgb="FF005CC5"/>
        <rFont val="Consolas"/>
        <family val="2"/>
      </rPr>
      <t>null</t>
    </r>
    <r>
      <rPr>
        <sz val="12"/>
        <color rgb="FF24292E"/>
        <rFont val="Consolas"/>
        <family val="2"/>
      </rPr>
      <t>}},</t>
    </r>
  </si>
  <si>
    <r>
      <t>"Warehouse"</t>
    </r>
    <r>
      <rPr>
        <sz val="12"/>
        <color rgb="FF24292E"/>
        <rFont val="Consolas"/>
        <family val="2"/>
      </rPr>
      <t xml:space="preserve">: </t>
    </r>
    <r>
      <rPr>
        <sz val="12"/>
        <color rgb="FF005CC5"/>
        <rFont val="Consolas"/>
        <family val="2"/>
      </rPr>
      <t>1</t>
    </r>
    <r>
      <rPr>
        <sz val="12"/>
        <color rgb="FF24292E"/>
        <rFont val="Consolas"/>
        <family val="2"/>
      </rPr>
      <t>},</t>
    </r>
  </si>
  <si>
    <t>warehouse</t>
  </si>
  <si>
    <r>
      <t>"RetailStripmall"</t>
    </r>
    <r>
      <rPr>
        <sz val="12"/>
        <color rgb="FF24292E"/>
        <rFont val="Consolas"/>
        <family val="2"/>
      </rPr>
      <t xml:space="preserve">: </t>
    </r>
    <r>
      <rPr>
        <sz val="12"/>
        <color rgb="FF005CC5"/>
        <rFont val="Consolas"/>
        <family val="2"/>
      </rPr>
      <t>0.47</t>
    </r>
    <r>
      <rPr>
        <sz val="12"/>
        <color rgb="FF24292E"/>
        <rFont val="Consolas"/>
        <family val="2"/>
      </rPr>
      <t>},</t>
    </r>
  </si>
  <si>
    <r>
      <t>"RetailStandalone"</t>
    </r>
    <r>
      <rPr>
        <sz val="12"/>
        <color rgb="FF24292E"/>
        <rFont val="Consolas"/>
        <family val="2"/>
      </rPr>
      <t xml:space="preserve">: </t>
    </r>
    <r>
      <rPr>
        <sz val="12"/>
        <color rgb="FF005CC5"/>
        <rFont val="Consolas"/>
        <family val="2"/>
      </rPr>
      <t>0.53</t>
    </r>
    <r>
      <rPr>
        <sz val="12"/>
        <color rgb="FF24292E"/>
        <rFont val="Consolas"/>
        <family val="2"/>
      </rPr>
      <t>,</t>
    </r>
  </si>
  <si>
    <t>mercantile/service</t>
  </si>
  <si>
    <r>
      <t>"OutpatientHealthcare"</t>
    </r>
    <r>
      <rPr>
        <sz val="12"/>
        <color rgb="FF24292E"/>
        <rFont val="Consolas"/>
        <family val="2"/>
      </rPr>
      <t xml:space="preserve">: </t>
    </r>
    <r>
      <rPr>
        <sz val="12"/>
        <color rgb="FF005CC5"/>
        <rFont val="Consolas"/>
        <family val="2"/>
      </rPr>
      <t>0.88</t>
    </r>
    <r>
      <rPr>
        <sz val="12"/>
        <color rgb="FF24292E"/>
        <rFont val="Consolas"/>
        <family val="2"/>
      </rPr>
      <t>},</t>
    </r>
  </si>
  <si>
    <r>
      <t>"SmallOffice"</t>
    </r>
    <r>
      <rPr>
        <sz val="12"/>
        <color rgb="FF24292E"/>
        <rFont val="Consolas"/>
        <family val="2"/>
      </rPr>
      <t xml:space="preserve">: </t>
    </r>
    <r>
      <rPr>
        <sz val="12"/>
        <color rgb="FF005CC5"/>
        <rFont val="Consolas"/>
        <family val="2"/>
      </rPr>
      <t>0.12</t>
    </r>
    <r>
      <rPr>
        <sz val="12"/>
        <color rgb="FF24292E"/>
        <rFont val="Consolas"/>
        <family val="2"/>
      </rPr>
      <t>,</t>
    </r>
  </si>
  <si>
    <t>small office</t>
  </si>
  <si>
    <r>
      <t>"MediumOffice"</t>
    </r>
    <r>
      <rPr>
        <sz val="12"/>
        <color rgb="FF24292E"/>
        <rFont val="Consolas"/>
        <family val="2"/>
      </rPr>
      <t xml:space="preserve">: </t>
    </r>
    <r>
      <rPr>
        <sz val="12"/>
        <color rgb="FF005CC5"/>
        <rFont val="Consolas"/>
        <family val="2"/>
      </rPr>
      <t>0.1</t>
    </r>
    <r>
      <rPr>
        <sz val="12"/>
        <color rgb="FF24292E"/>
        <rFont val="Consolas"/>
        <family val="2"/>
      </rPr>
      <t>},</t>
    </r>
  </si>
  <si>
    <r>
      <t>"LargeOffice"</t>
    </r>
    <r>
      <rPr>
        <sz val="12"/>
        <color rgb="FF24292E"/>
        <rFont val="Consolas"/>
        <family val="2"/>
      </rPr>
      <t xml:space="preserve">: </t>
    </r>
    <r>
      <rPr>
        <sz val="12"/>
        <color rgb="FF005CC5"/>
        <rFont val="Consolas"/>
        <family val="2"/>
      </rPr>
      <t>0.9</t>
    </r>
    <r>
      <rPr>
        <sz val="12"/>
        <color rgb="FF24292E"/>
        <rFont val="Consolas"/>
        <family val="2"/>
      </rPr>
      <t>,</t>
    </r>
  </si>
  <si>
    <t>large office</t>
  </si>
  <si>
    <r>
      <t>"LargeHotel"</t>
    </r>
    <r>
      <rPr>
        <sz val="12"/>
        <color rgb="FF24292E"/>
        <rFont val="Consolas"/>
        <family val="2"/>
      </rPr>
      <t xml:space="preserve">: </t>
    </r>
    <r>
      <rPr>
        <sz val="12"/>
        <color rgb="FF005CC5"/>
        <rFont val="Consolas"/>
        <family val="2"/>
      </rPr>
      <t>0.74</t>
    </r>
    <r>
      <rPr>
        <sz val="12"/>
        <color rgb="FF24292E"/>
        <rFont val="Consolas"/>
        <family val="2"/>
      </rPr>
      <t>},</t>
    </r>
  </si>
  <si>
    <r>
      <t>"SmallHotel"</t>
    </r>
    <r>
      <rPr>
        <sz val="12"/>
        <color rgb="FF24292E"/>
        <rFont val="Consolas"/>
        <family val="2"/>
      </rPr>
      <t xml:space="preserve">: </t>
    </r>
    <r>
      <rPr>
        <sz val="12"/>
        <color rgb="FF005CC5"/>
        <rFont val="Consolas"/>
        <family val="2"/>
      </rPr>
      <t>0.26</t>
    </r>
    <r>
      <rPr>
        <sz val="12"/>
        <color rgb="FF24292E"/>
        <rFont val="Consolas"/>
        <family val="2"/>
      </rPr>
      <t>,</t>
    </r>
  </si>
  <si>
    <t>lodging</t>
  </si>
  <si>
    <r>
      <t>"health care"</t>
    </r>
    <r>
      <rPr>
        <sz val="12"/>
        <color rgb="FF24292E"/>
        <rFont val="Consolas"/>
        <family val="2"/>
      </rPr>
      <t xml:space="preserve">: </t>
    </r>
    <r>
      <rPr>
        <sz val="12"/>
        <color rgb="FF005CC5"/>
        <rFont val="Consolas"/>
        <family val="2"/>
      </rPr>
      <t>null</t>
    </r>
    <r>
      <rPr>
        <sz val="12"/>
        <color rgb="FF24292E"/>
        <rFont val="Consolas"/>
        <family val="2"/>
      </rPr>
      <t>,</t>
    </r>
  </si>
  <si>
    <r>
      <t>"FullServiceRestaurant"</t>
    </r>
    <r>
      <rPr>
        <sz val="12"/>
        <color rgb="FF24292E"/>
        <rFont val="Consolas"/>
        <family val="2"/>
      </rPr>
      <t xml:space="preserve">: </t>
    </r>
    <r>
      <rPr>
        <sz val="12"/>
        <color rgb="FF005CC5"/>
        <rFont val="Consolas"/>
        <family val="2"/>
      </rPr>
      <t>0.69</t>
    </r>
    <r>
      <rPr>
        <sz val="12"/>
        <color rgb="FF24292E"/>
        <rFont val="Consolas"/>
        <family val="2"/>
      </rPr>
      <t>},</t>
    </r>
  </si>
  <si>
    <r>
      <t>"QuickServiceRestaurant"</t>
    </r>
    <r>
      <rPr>
        <sz val="12"/>
        <color rgb="FF24292E"/>
        <rFont val="Consolas"/>
        <family val="2"/>
      </rPr>
      <t xml:space="preserve">: </t>
    </r>
    <r>
      <rPr>
        <sz val="12"/>
        <color rgb="FF005CC5"/>
        <rFont val="Consolas"/>
        <family val="2"/>
      </rPr>
      <t>0.31</t>
    </r>
    <r>
      <rPr>
        <sz val="12"/>
        <color rgb="FF24292E"/>
        <rFont val="Consolas"/>
        <family val="2"/>
      </rPr>
      <t>,</t>
    </r>
  </si>
  <si>
    <t>food service</t>
  </si>
  <si>
    <t>food sales</t>
  </si>
  <si>
    <r>
      <t>"SecondarySchool"</t>
    </r>
    <r>
      <rPr>
        <sz val="12"/>
        <color rgb="FF24292E"/>
        <rFont val="Consolas"/>
        <family val="2"/>
      </rPr>
      <t xml:space="preserve">: </t>
    </r>
    <r>
      <rPr>
        <sz val="12"/>
        <color rgb="FF005CC5"/>
        <rFont val="Consolas"/>
        <family val="2"/>
      </rPr>
      <t>0.74</t>
    </r>
    <r>
      <rPr>
        <sz val="12"/>
        <color rgb="FF24292E"/>
        <rFont val="Consolas"/>
        <family val="2"/>
      </rPr>
      <t>},</t>
    </r>
  </si>
  <si>
    <r>
      <t>"PrimarySchool"</t>
    </r>
    <r>
      <rPr>
        <sz val="12"/>
        <color rgb="FF24292E"/>
        <rFont val="Consolas"/>
        <family val="2"/>
      </rPr>
      <t xml:space="preserve">: </t>
    </r>
    <r>
      <rPr>
        <sz val="12"/>
        <color rgb="FF005CC5"/>
        <rFont val="Consolas"/>
        <family val="2"/>
      </rPr>
      <t>0.26</t>
    </r>
    <r>
      <rPr>
        <sz val="12"/>
        <color rgb="FF24292E"/>
        <rFont val="Consolas"/>
        <family val="2"/>
      </rPr>
      <t>,</t>
    </r>
  </si>
  <si>
    <t>education</t>
  </si>
  <si>
    <t>hospital</t>
  </si>
  <si>
    <t>assembly</t>
  </si>
  <si>
    <t>Energy - End Uses</t>
  </si>
  <si>
    <t>pre 1980</t>
  </si>
  <si>
    <t>Total E use (kWh)</t>
  </si>
  <si>
    <t>check=0</t>
  </si>
  <si>
    <t>Average % of Energy Use by Building Type</t>
  </si>
  <si>
    <t>EUI x % sqft</t>
  </si>
  <si>
    <t>Area (sqft)</t>
  </si>
  <si>
    <t>E use (kWh)</t>
  </si>
  <si>
    <t>% of sector sqft</t>
  </si>
  <si>
    <t>SUM</t>
  </si>
  <si>
    <t xml:space="preserve">Assembly </t>
  </si>
  <si>
    <t>kWh/building</t>
  </si>
  <si>
    <t>average % of energy use per building type</t>
  </si>
  <si>
    <t>[load weighted by EUI and sqft]</t>
  </si>
  <si>
    <t>kWh/sqft</t>
  </si>
  <si>
    <t>kWh</t>
  </si>
  <si>
    <t>EUI</t>
  </si>
  <si>
    <t>x</t>
  </si>
  <si>
    <t>% of sqft</t>
  </si>
  <si>
    <t>X</t>
  </si>
  <si>
    <t>Total Comm Sector</t>
  </si>
  <si>
    <t>Comm Ref</t>
  </si>
  <si>
    <t>#we defined as average of all DOE ref buildings</t>
  </si>
  <si>
    <t>% of total sqft</t>
  </si>
  <si>
    <t>% OF TOTAL</t>
  </si>
  <si>
    <t>TOTAL E USE</t>
  </si>
  <si>
    <t>Large Office</t>
  </si>
  <si>
    <t xml:space="preserve">Large Hotel </t>
  </si>
  <si>
    <t>#we defined as "Hospital": 0.5, "OutpatientHealthcare": 0.5</t>
  </si>
  <si>
    <t>Full Service Rest</t>
  </si>
  <si>
    <t>Quick Service Rest</t>
  </si>
  <si>
    <t>Secondary School</t>
  </si>
  <si>
    <t>Hospital</t>
  </si>
  <si>
    <t>SCOUT DEFINITIONS</t>
  </si>
  <si>
    <t>Mercantile/Service</t>
  </si>
  <si>
    <t>Health Care</t>
  </si>
  <si>
    <t>Food Service</t>
  </si>
  <si>
    <t>Food Sales</t>
  </si>
  <si>
    <t>Assembly</t>
  </si>
  <si>
    <t>SCOUT BUILDING TYPES</t>
  </si>
  <si>
    <t xml:space="preserve">Area (sqft): </t>
  </si>
  <si>
    <t>Average Loads across construction date</t>
  </si>
  <si>
    <t>Retail Stripmall</t>
  </si>
  <si>
    <t>Outpatient Healthcare</t>
  </si>
  <si>
    <t>Full Service Restaurant</t>
  </si>
  <si>
    <t>total for CZ5</t>
  </si>
  <si>
    <t>other</t>
  </si>
  <si>
    <t>health care</t>
  </si>
  <si>
    <t>% of Total Sq Ft</t>
  </si>
  <si>
    <t>total square footage</t>
  </si>
  <si>
    <t>AIA_CZ5</t>
  </si>
  <si>
    <t>Heating (Env.), Cooling (Env.)</t>
  </si>
  <si>
    <t>Residential (New), Residential (Existing)</t>
  </si>
  <si>
    <t>AIA CZ5</t>
  </si>
  <si>
    <t>Efficient competed</t>
  </si>
  <si>
    <t>Residential Walls, IECC c. 2018</t>
  </si>
  <si>
    <t>Baseline competed</t>
  </si>
  <si>
    <t>Efficient uncompeted</t>
  </si>
  <si>
    <t>Baseline uncompeted</t>
  </si>
  <si>
    <t>Residential Roof, IECC c. 2018</t>
  </si>
  <si>
    <t>Residential Oil WH, 90.1 c. 2016</t>
  </si>
  <si>
    <t>Residential Floors, IECC c. 2018</t>
  </si>
  <si>
    <t>Res. Air Sealing (New), IECC c. 2018</t>
  </si>
  <si>
    <t>Res. Air Sealing (Exist), IECC c. 2018</t>
  </si>
  <si>
    <t>Prospective Residential SSL</t>
  </si>
  <si>
    <t>Heating (Equip.), Cooling (Equip.), Lighting</t>
  </si>
  <si>
    <t>Prospective Residential Occupancy Ctl.</t>
  </si>
  <si>
    <t>Prospective Residential NVC Refrigerator</t>
  </si>
  <si>
    <t>Heating (Equip.), Cooling (Equip.)</t>
  </si>
  <si>
    <t>Prospective Residential NVC HVAC (FS)</t>
  </si>
  <si>
    <t>Prospective Residential NVC HVAC</t>
  </si>
  <si>
    <t>Prospective Residential NVC HPWH (FS)</t>
  </si>
  <si>
    <t>Prospective Residential NVC HPWH</t>
  </si>
  <si>
    <t>Prospective Residential Non-CO2 HPWH</t>
  </si>
  <si>
    <t>Prospective Residential NGHP</t>
  </si>
  <si>
    <t>Prospective Residential NG Sorption HPWH</t>
  </si>
  <si>
    <t>Heating (Equip.), Cooling (Equip.), Water Heating</t>
  </si>
  <si>
    <t>Prospective Residential Integrated NGHP</t>
  </si>
  <si>
    <t>Prospective Residential Integrated ASHP</t>
  </si>
  <si>
    <t>Prospective Residential HP Dryer (FS)</t>
  </si>
  <si>
    <t>Prospective Residential HP Dryer</t>
  </si>
  <si>
    <t>Prospective Residential Comfort Ctl.</t>
  </si>
  <si>
    <t>Prospective Residential CO2 HPWH (FS)</t>
  </si>
  <si>
    <t>Prospective Residential CO2 HPWH</t>
  </si>
  <si>
    <t>Prospective Residential AVCT HVAC (FS)</t>
  </si>
  <si>
    <t>Prospective Residential AVCT HVAC</t>
  </si>
  <si>
    <t>Prospective Residential Adv Refrigerator</t>
  </si>
  <si>
    <t>Prospective Res. Occupancy Ctl. 2030</t>
  </si>
  <si>
    <t>Prospective Res. Non-CO2 HPWH (FS)</t>
  </si>
  <si>
    <t>Prospective Res. Integrated ASHP (FS)</t>
  </si>
  <si>
    <t>Prospective Res. Comfort Ctl. 2030</t>
  </si>
  <si>
    <t>Commercial (New), Commercial (Existing)</t>
  </si>
  <si>
    <t>Prospective Commercial SSL</t>
  </si>
  <si>
    <t>Heating (Equip.), Cooling (Equip.), Ventilation, Lighting</t>
  </si>
  <si>
    <t>Prospective Commercial Occupancy Ctl.</t>
  </si>
  <si>
    <t>Prospective Commercial NVC Refrigerator</t>
  </si>
  <si>
    <t>Prospective Commercial NVC HVAC (FS)</t>
  </si>
  <si>
    <t>Prospective Commercial NVC HVAC</t>
  </si>
  <si>
    <t>Prospective Commercial NVC HPWH (FS)</t>
  </si>
  <si>
    <t>Prospective Commercial NVC HPWH</t>
  </si>
  <si>
    <t>Prospective Commercial Non-CO2 HPWH (FS)</t>
  </si>
  <si>
    <t>Prospective Commercial Non-CO2 HPWH</t>
  </si>
  <si>
    <t>Prospective Commercial NG Sorption HPWH</t>
  </si>
  <si>
    <t>Prospective Commercial Natural Gas HP</t>
  </si>
  <si>
    <t>Prospective Commercial Integrated NGHP</t>
  </si>
  <si>
    <t>Prospective Commercial Comfort Ctl.</t>
  </si>
  <si>
    <t>Prospective Commercial CO2 HPWH (FS)</t>
  </si>
  <si>
    <t>Prospective Commercial CO2 HPWH</t>
  </si>
  <si>
    <t>Prospective Commercial AVCT HVAC (FS)</t>
  </si>
  <si>
    <t>Prospective Commercial AVCT HVAC</t>
  </si>
  <si>
    <t>Prospective Commercial Adv Refrigerator</t>
  </si>
  <si>
    <t>Prospective Com. Occupancy Ctl. 2030</t>
  </si>
  <si>
    <t>Prospective Com. Comfort Ctl. 2030</t>
  </si>
  <si>
    <t>Heating (Equip.), Cooling (Equip.), Ventilation</t>
  </si>
  <si>
    <t>Prospective AFDD + Submetering 2030</t>
  </si>
  <si>
    <t>ENERGY STAR Windows v. 6.0</t>
  </si>
  <si>
    <t>ENERGY STAR Solar WH v. 3.2 (FS)</t>
  </si>
  <si>
    <t>ENERGY STAR Solar WH v. 3.2</t>
  </si>
  <si>
    <t>Cooling (Equip.)</t>
  </si>
  <si>
    <t>ENERGY STAR RTU v. 2.2</t>
  </si>
  <si>
    <t>ENERGY STAR Room AC v. 4.0</t>
  </si>
  <si>
    <t>ENERGY STAR Rooftop HP v. 2.2 (FS)</t>
  </si>
  <si>
    <t>ENERGY STAR Rooftop HP v. 2.2</t>
  </si>
  <si>
    <t>ENERGY STAR Refrigerator v. 5.0</t>
  </si>
  <si>
    <t>Heating (Equip.)</t>
  </si>
  <si>
    <t>ENERGY STAR Oil Furnace v. 4.1</t>
  </si>
  <si>
    <t>ENERGY STAR Oil Boiler v. 3.0</t>
  </si>
  <si>
    <t>ENERGY STAR LED Bulbs v. 2.0</t>
  </si>
  <si>
    <t>ENERGY STAR HPWH v. 3.2 (Res.) (FS)</t>
  </si>
  <si>
    <t>ENERGY STAR HPWH (Com.) (FS)</t>
  </si>
  <si>
    <t>ENERGY STAR Gas Storage WH v. 3.2</t>
  </si>
  <si>
    <t>ENERGY STAR Gas Inst. WH v. 3.2</t>
  </si>
  <si>
    <t>ENERGY STAR Gas Furnace v. 4.1</t>
  </si>
  <si>
    <t>ENERGY STAR Gas Dryers v. 1.1</t>
  </si>
  <si>
    <t>ENERGY STAR Gas Boiler v. 3.0</t>
  </si>
  <si>
    <t>ENERGY STAR Fluorescent Bulbs v. 2.0</t>
  </si>
  <si>
    <t>ENERGY STAR Electric HPWH (Com.)</t>
  </si>
  <si>
    <t>ENERGY STAR Electric Dryers v. 1.1 (FS)</t>
  </si>
  <si>
    <t>ENERGY STAR Electric Dryers v. 1.1</t>
  </si>
  <si>
    <t>ENERGY STAR Elec. HPWH v. 3.2 (Res.)</t>
  </si>
  <si>
    <t>ENERGY STAR Commercial LED Lighting</t>
  </si>
  <si>
    <t>ENERGY STAR Commercial Gas WH v. 1.0</t>
  </si>
  <si>
    <t>ENERGY STAR Clothes Washer v. 7.1</t>
  </si>
  <si>
    <t>ENERGY STAR Central AC v. 5.0</t>
  </si>
  <si>
    <t>ENERGY STAR Air Source HP v. 5.0 (FS)</t>
  </si>
  <si>
    <t>ENERGY STAR Air Source HP v. 5.0</t>
  </si>
  <si>
    <t>Commercial Walls, 90.1 c. 2016</t>
  </si>
  <si>
    <t>Commercial Roofs, 90.1 c. 2016</t>
  </si>
  <si>
    <t>Commercial Oil WH, 90.1 c. 2016</t>
  </si>
  <si>
    <t>Commercial Oil Furnace, 90.1 c. 2016</t>
  </si>
  <si>
    <t>Commercial Oil Boiler, 90.1 c. 2016</t>
  </si>
  <si>
    <t>Commercial Gas Furnace, 90.1 c. 2016</t>
  </si>
  <si>
    <t>Commercial Gas Boiler, 90.1 c. 2016</t>
  </si>
  <si>
    <t>Commercial Floors, 90.1 c. 2016</t>
  </si>
  <si>
    <t>Commercial Fenestration, 90.1 c. 2016</t>
  </si>
  <si>
    <t>Commercial Electric WH, 90.1 c. 2016</t>
  </si>
  <si>
    <t>Commercial Elec. WH, 90.1 c. 2016 (FS)</t>
  </si>
  <si>
    <t>Commercial Chillers, 90.1 c. 2016</t>
  </si>
  <si>
    <t>Com. Air Sealing (New), 90.1 c. 2016</t>
  </si>
  <si>
    <t>Com. Air Sealing (Exist), 90.1 c. 2016</t>
  </si>
  <si>
    <t>Best Rooftop Heat Pump (FS)</t>
  </si>
  <si>
    <t>Best Rooftop Heat Pump</t>
  </si>
  <si>
    <t>Best Residential Windows</t>
  </si>
  <si>
    <t>Best Residential Walls</t>
  </si>
  <si>
    <t>Best Residential Room AC</t>
  </si>
  <si>
    <t>Best Residential Roof</t>
  </si>
  <si>
    <t>Best Residential Resist. WH (FS)</t>
  </si>
  <si>
    <t>Best Residential Refrigerator</t>
  </si>
  <si>
    <t>Best Residential Oil WH</t>
  </si>
  <si>
    <t>Best Residential Oil Furnace</t>
  </si>
  <si>
    <t>Best Residential Oil Boiler</t>
  </si>
  <si>
    <t>Best Residential LED Lighting</t>
  </si>
  <si>
    <t>Best Residential Gas Storage WH</t>
  </si>
  <si>
    <t>Best Residential Gas Inst. WH</t>
  </si>
  <si>
    <t>Best Residential Gas Furnace</t>
  </si>
  <si>
    <t>Best Residential Gas Dryer</t>
  </si>
  <si>
    <t>Best Residential Gas Boiler</t>
  </si>
  <si>
    <t>Best Residential Floors</t>
  </si>
  <si>
    <t>Best Residential Electric Resist. WH</t>
  </si>
  <si>
    <t>Best Residential Electric HPWH (FS)</t>
  </si>
  <si>
    <t>Best Residential Electric HPWH</t>
  </si>
  <si>
    <t>Best Residential Electric Dryer (FS)</t>
  </si>
  <si>
    <t>Best Residential Electric Dryer</t>
  </si>
  <si>
    <t>Best Residential Clothes Washer</t>
  </si>
  <si>
    <t>Best Residential Central AC</t>
  </si>
  <si>
    <t>Best Residential Air Source HP (FS)</t>
  </si>
  <si>
    <t>Best Residential Air Source HP</t>
  </si>
  <si>
    <t>Best Res. Air Sealing (New)</t>
  </si>
  <si>
    <t>Best Res. Air Sealing (Exist)</t>
  </si>
  <si>
    <t>Best Commercial Walls</t>
  </si>
  <si>
    <t>Best Commercial Rooftop AC</t>
  </si>
  <si>
    <t>Best Commercial Roofs</t>
  </si>
  <si>
    <t>Best Commercial Refrigeration</t>
  </si>
  <si>
    <t>Best Commercial Oil WH</t>
  </si>
  <si>
    <t>Best Commercial Oil Furnace</t>
  </si>
  <si>
    <t>Best Commercial Oil Boiler</t>
  </si>
  <si>
    <t>Best Commercial LED Lighting</t>
  </si>
  <si>
    <t>Best Commercial Gas Storage WH</t>
  </si>
  <si>
    <t>Best Commercial Gas Furnace</t>
  </si>
  <si>
    <t>Best Commercial Gas Boiler</t>
  </si>
  <si>
    <t>Best Commercial Floors</t>
  </si>
  <si>
    <t>Best Commercial Fenestration</t>
  </si>
  <si>
    <t>Best Commercial Electric HPWH (FS)</t>
  </si>
  <si>
    <t>Best Commercial Electric HPWH</t>
  </si>
  <si>
    <t>Best Commercial Chillers</t>
  </si>
  <si>
    <t>Best Com. Air Sealing (New)</t>
  </si>
  <si>
    <t>Best Com. Air Sealing (Exist)</t>
  </si>
  <si>
    <t>All</t>
  </si>
  <si>
    <t>Baseline competed - efficient competed</t>
  </si>
  <si>
    <t>All ECMs</t>
  </si>
  <si>
    <t>Electronics</t>
  </si>
  <si>
    <t>Cooling (Env.)</t>
  </si>
  <si>
    <t>Heating (Env.)</t>
  </si>
  <si>
    <t>Commercial (Existing)</t>
  </si>
  <si>
    <t>Commercial (New)</t>
  </si>
  <si>
    <t>Residential (Existing)</t>
  </si>
  <si>
    <t>Residential (New)</t>
  </si>
  <si>
    <t>AIA CZ4</t>
  </si>
  <si>
    <t>AIA CZ3</t>
  </si>
  <si>
    <t>AIA CZ2</t>
  </si>
  <si>
    <t>AIA CZ1</t>
  </si>
  <si>
    <t>2050 (Quads)</t>
  </si>
  <si>
    <t>2049 (Quads)</t>
  </si>
  <si>
    <t>2048 (Quads)</t>
  </si>
  <si>
    <t>2047 (Quads)</t>
  </si>
  <si>
    <t>2046 (Quads)</t>
  </si>
  <si>
    <t>2045 (Quads)</t>
  </si>
  <si>
    <t>2044 (Quads)</t>
  </si>
  <si>
    <t>2043 (Quads)</t>
  </si>
  <si>
    <t>2042 (Quads)</t>
  </si>
  <si>
    <t>2041 (Quads)</t>
  </si>
  <si>
    <t>2040 (Quads)</t>
  </si>
  <si>
    <t>2039 (Quads)</t>
  </si>
  <si>
    <t>2038 (Quads)</t>
  </si>
  <si>
    <t>2037 (Quads)</t>
  </si>
  <si>
    <t>2036 (Quads)</t>
  </si>
  <si>
    <t>2035 (Quads)</t>
  </si>
  <si>
    <t>2034 (Quads)</t>
  </si>
  <si>
    <t>2033 (Quads)</t>
  </si>
  <si>
    <t>2032 (Quads)</t>
  </si>
  <si>
    <t>2031 (Quads)</t>
  </si>
  <si>
    <t>2030 (Quads)</t>
  </si>
  <si>
    <t>2029 (Quads)</t>
  </si>
  <si>
    <t>2028 (Quads)</t>
  </si>
  <si>
    <t>2027 (Quads)</t>
  </si>
  <si>
    <t>2026 (Quads)</t>
  </si>
  <si>
    <t>2025 (Quads)</t>
  </si>
  <si>
    <t>2024 (Quads)</t>
  </si>
  <si>
    <t>2023 (Quads)</t>
  </si>
  <si>
    <t>2022 (Quads)</t>
  </si>
  <si>
    <t>2021 (Quads)</t>
  </si>
  <si>
    <t>2020 (Quads)</t>
  </si>
  <si>
    <t>2019 (Quads)</t>
  </si>
  <si>
    <t>2018 (Quads)</t>
  </si>
  <si>
    <t>2017 (Quads)</t>
  </si>
  <si>
    <t>2016 (Quads)</t>
  </si>
  <si>
    <t>2015 (Quads)</t>
  </si>
  <si>
    <t>CCC ($/t CO2 avoided), 2040</t>
  </si>
  <si>
    <t>CCE ($/MMBtu saved), 2040</t>
  </si>
  <si>
    <t>Payback (years), 2040</t>
  </si>
  <si>
    <t>IRR (%), 2040</t>
  </si>
  <si>
    <t>End Uses</t>
  </si>
  <si>
    <t>Building Classes</t>
  </si>
  <si>
    <t>Climate Zones</t>
  </si>
  <si>
    <t>Results Scenario</t>
  </si>
  <si>
    <t>ECM Name</t>
  </si>
  <si>
    <t>?</t>
  </si>
  <si>
    <t>% Savings</t>
  </si>
  <si>
    <t>Savings (kWh CZ5)</t>
  </si>
  <si>
    <t>CZ5 Energy Savings (kWh)</t>
  </si>
  <si>
    <t>https://www.energy.gov/sites/prod/files/2016/07/f33/The%20Future%20of%20AC%20Report%20-%20Executive%20Summary_0.pdf</t>
  </si>
  <si>
    <t>Sensors and Controls</t>
  </si>
  <si>
    <t>HVAC</t>
  </si>
  <si>
    <t>Notes</t>
  </si>
  <si>
    <t>2020 CZ5 % Reduction</t>
  </si>
  <si>
    <t>2020 CZ5 kWh Savings</t>
  </si>
  <si>
    <t>Tag</t>
  </si>
  <si>
    <t>**** Not included in SCOUT. Added based on conversation with local industry experts</t>
  </si>
  <si>
    <t>*** SCOUT value adjusted based on feedback provided from local industry experts</t>
  </si>
  <si>
    <t>For source data, see "CZ5 Com Savings" Tab</t>
  </si>
  <si>
    <t>Scout Commercial EE MEASURE</t>
  </si>
  <si>
    <t>TOTAL COMMERCIAL SAVINGS</t>
  </si>
  <si>
    <t>[placeholder]</t>
  </si>
  <si>
    <t>Equipment</t>
  </si>
  <si>
    <t>Logarithmic</t>
  </si>
  <si>
    <t>Logarithmic %</t>
  </si>
  <si>
    <t>FORECAST BASED ON SCENARIO SELECTION ON DASHBOARD AND ADOPTION CURVE</t>
  </si>
  <si>
    <t>STRAIGHTLINE ADOPTION SCENARIO BASED ON SCENARIO SELECTED ON DASHBOARD</t>
  </si>
  <si>
    <t>Population Forecast (FOMB)</t>
  </si>
  <si>
    <t>(thousands)</t>
  </si>
  <si>
    <t>*Note: We can create more custom adoption profiles</t>
  </si>
  <si>
    <t>IRP EE High</t>
  </si>
  <si>
    <t>IRP EE Low</t>
  </si>
  <si>
    <t>IRP EE Medium</t>
  </si>
  <si>
    <t>2040 (GWh)</t>
  </si>
  <si>
    <t>2040 (%)</t>
  </si>
  <si>
    <t>2% fixed annual reduction</t>
  </si>
  <si>
    <t>5% fixed annual reduction</t>
  </si>
  <si>
    <t>1% fixed annual reduction</t>
  </si>
  <si>
    <t>Medium Forecast</t>
  </si>
  <si>
    <t>IRP EE+DR+DG - Medium Consumption</t>
  </si>
  <si>
    <t>* "% ADOPTION" refers to the percentage of customers adopting a measure by 2040, among those customers for whom the measure is viable</t>
  </si>
  <si>
    <t>Commercial Sector</t>
  </si>
  <si>
    <t xml:space="preserve">Daylighting - skylights etc. </t>
  </si>
  <si>
    <t>Upgrade Window Unit from SEER 8.5 to SEER 12</t>
  </si>
  <si>
    <t>Upgrade to interior wall fans</t>
  </si>
  <si>
    <t>Upgrade to 365 kWh/year unit</t>
  </si>
  <si>
    <t>Faucet Aerators and Restrictors</t>
  </si>
  <si>
    <t>Induction Stoves</t>
  </si>
  <si>
    <t>U.S. Virgin Islands Energy Efficiency Tool. Developed through the US Department of Energy Energy Transitions Program 2017?</t>
  </si>
  <si>
    <t>Daylighting - add Skylights or other</t>
  </si>
  <si>
    <t>Add shading</t>
  </si>
  <si>
    <t>Exterior Lighting - full cut off lamp posts</t>
  </si>
  <si>
    <t>PNNL</t>
  </si>
  <si>
    <t>ID</t>
  </si>
  <si>
    <t>Year</t>
  </si>
  <si>
    <t>Rank</t>
  </si>
  <si>
    <t>E Use (kWh/year)</t>
  </si>
  <si>
    <t>PUERTO RICO ENERGY EFFICIENCY SCENARIO ANALYSIS TOOL (PREESAT)</t>
  </si>
  <si>
    <t>Calculated in Spreadsheet</t>
  </si>
  <si>
    <t>User Input</t>
  </si>
  <si>
    <r>
      <rPr>
        <u/>
        <sz val="12"/>
        <color theme="1"/>
        <rFont val="Calibri"/>
        <family val="2"/>
        <scheme val="minor"/>
      </rPr>
      <t>Legend</t>
    </r>
    <r>
      <rPr>
        <b/>
        <sz val="12"/>
        <color theme="1"/>
        <rFont val="Calibri"/>
        <family val="2"/>
        <scheme val="minor"/>
      </rPr>
      <t>:</t>
    </r>
  </si>
  <si>
    <t>Links to Other Spreadsheet Data</t>
  </si>
  <si>
    <t>Hard Entries</t>
  </si>
  <si>
    <t>Data Under Investigation</t>
  </si>
  <si>
    <t xml:space="preserve">Other </t>
  </si>
  <si>
    <t>RESULTS</t>
  </si>
  <si>
    <t>USER INPUTS</t>
  </si>
  <si>
    <t>Select Adoption Curve:</t>
  </si>
  <si>
    <t>Scenarios</t>
  </si>
  <si>
    <t xml:space="preserve"> </t>
  </si>
  <si>
    <t>Table 3. BAU vs. EE Breakdown</t>
  </si>
  <si>
    <t>Select Year:</t>
  </si>
  <si>
    <t>BAU (GWh)</t>
  </si>
  <si>
    <t>EE (GWh)</t>
  </si>
  <si>
    <t>2021 (GWh)</t>
  </si>
  <si>
    <t>2021 (%)</t>
  </si>
  <si>
    <t>MEDIUM BASELINE SALES DEMAND</t>
  </si>
  <si>
    <t>% of Total by Sector - Medium Baseline Gross Sales Demand</t>
  </si>
  <si>
    <t>Table 2. Energy Efficiency Reductions from Baseline*</t>
  </si>
  <si>
    <t>*Reductions are compared to baseline forecast GWh consumption in 2021 &amp; 2040</t>
  </si>
  <si>
    <t>FIXED ANNUAL REDUCTION</t>
  </si>
  <si>
    <t>Measure:</t>
  </si>
  <si>
    <t>Portfolio:</t>
  </si>
  <si>
    <t>End-Use:</t>
  </si>
  <si>
    <t>Sector:</t>
  </si>
  <si>
    <t>BUSINESS AS USUAL (BAU) (GWh) - Baseline Data Based on Dashboard Selection</t>
  </si>
  <si>
    <t>Residential Energy Efficiency Measures</t>
  </si>
  <si>
    <t xml:space="preserve">Select Residential Efficiency Measures: </t>
  </si>
  <si>
    <t>CLICK HERE</t>
  </si>
  <si>
    <t xml:space="preserve">Select Commercial Efficiency Measures: </t>
  </si>
  <si>
    <t xml:space="preserve">Select Industrial Efficiency Measures: </t>
  </si>
  <si>
    <t>Commercial Energy Efficiency Measures</t>
  </si>
  <si>
    <t>Industrial Energy Efficiency Measures</t>
  </si>
  <si>
    <t>Energy Savings Data Sources (based on single family only)</t>
  </si>
  <si>
    <t>IAC Industrial EE Measure</t>
  </si>
  <si>
    <t xml:space="preserve">Total Number of Residential Customers in 2020: </t>
  </si>
  <si>
    <t>Total Number of Commercial Customers in 2020:</t>
  </si>
  <si>
    <t>Change from 2020-2040</t>
  </si>
  <si>
    <t>Average Annual Change</t>
  </si>
  <si>
    <t>Table 1. Baseline - Consumption Change from 2020 to 2040</t>
  </si>
  <si>
    <t xml:space="preserve">Select Baseline BAU: </t>
  </si>
  <si>
    <t>PREESAT Analysis (NREL)</t>
  </si>
  <si>
    <t>Baseline Residential Electricity Use 2040 (kWh):</t>
  </si>
  <si>
    <t xml:space="preserve">Total Residential Electricity Use 2020 (kWh): </t>
  </si>
  <si>
    <t>HIGH BASELINE - Gross Electricity Demand</t>
  </si>
  <si>
    <t>MEDIUM BASELINE - Gross Electricity Demand</t>
  </si>
  <si>
    <t>LOW BASELINE - Gross Electricity Demand</t>
  </si>
  <si>
    <t>Total Commercial Electricity Use 2020 (kWh):</t>
  </si>
  <si>
    <t>Baseline Commerical Electricity Use 2040 (kWh):</t>
  </si>
  <si>
    <t>Average Per Capita Annual Electricity Savings (kWh/yr)</t>
  </si>
  <si>
    <t>Cumulative Electricity Savings from 2021 to 2040 (GWh)</t>
  </si>
  <si>
    <t>Estimated Per Capita Annual Cost Savings ($/yr)*</t>
  </si>
  <si>
    <t>*Does not include upfront cost of efficiency measures</t>
  </si>
  <si>
    <t>Clothes Drying</t>
  </si>
  <si>
    <t>% of Total Residential Consumption by End-Use</t>
  </si>
  <si>
    <t>Annual Electricity Savings Per Residential Customer (kWh)</t>
  </si>
  <si>
    <t>% of Residential Customers Adopting End-Use Efficiency Measures by 2040*</t>
  </si>
  <si>
    <t>Column 1</t>
  </si>
  <si>
    <t>Column 2</t>
  </si>
  <si>
    <t>Column 3</t>
  </si>
  <si>
    <t>Column 4</t>
  </si>
  <si>
    <t>Column 5</t>
  </si>
  <si>
    <t>Column 6</t>
  </si>
  <si>
    <t>Column 7</t>
  </si>
  <si>
    <t xml:space="preserve">Column 8 </t>
  </si>
  <si>
    <t>End-Use Measures Portfolio (% by Measure)</t>
  </si>
  <si>
    <t>Reduction as % of Total Commercial Load</t>
  </si>
  <si>
    <t>% Reduction in End-Use Electricity Consumption in 2040 Compared to Baseline</t>
  </si>
  <si>
    <t>Total Percent Reduction in Residential Electricity Consumption in 2040 Compared to Baseline:</t>
  </si>
  <si>
    <t>% Reduction in Residential Electricity Consumption in 2040 Compared to Baseline</t>
  </si>
  <si>
    <t>End-Use Electricity Consumption Reduction in 2040 Compared to Baseline (kWh)</t>
  </si>
  <si>
    <t>Clothes Washing/Drying</t>
  </si>
  <si>
    <t>End Use % of Total Sector Use2</t>
  </si>
  <si>
    <t>% of Total Commercial Consumption by End-Use</t>
  </si>
  <si>
    <t>% of Commercial Customers Adopting End-Use Efficiency Measures by 2040*</t>
  </si>
  <si>
    <t>% Electricity Savings Compared to Baseline</t>
  </si>
  <si>
    <t>% Reduction in Commercial Electricity Consumption in 2040 Compared to Baseline</t>
  </si>
  <si>
    <t>Total Percent Reduction in Commercial Electricity Consumption in 2040 Compared to Baseline:</t>
  </si>
  <si>
    <t>Improve equipment efficiency [placeholder]</t>
  </si>
  <si>
    <t>Total Percent Reduction in Industrial Electricity Consumption in 2040 Compared to Baseline:</t>
  </si>
  <si>
    <t>Set Overall Adoption Percentage for Efficiency Measures:</t>
  </si>
  <si>
    <t>Machine Drive Motors</t>
  </si>
  <si>
    <t>Process Use</t>
  </si>
  <si>
    <t>Direct Use incl. Heating/Cooling</t>
  </si>
  <si>
    <t>% Reduction in Industrial Electricity Consumption in 2040 Compared to Baseline</t>
  </si>
  <si>
    <t>% of Industrial Customers Adopting End-Use Efficiency Measures by 2040*</t>
  </si>
  <si>
    <t>% of Industrial Customers for Whom Measure is Viable**</t>
  </si>
  <si>
    <t>Medium Demand</t>
  </si>
  <si>
    <t>Disclaimer</t>
  </si>
  <si>
    <t>Authors</t>
  </si>
  <si>
    <t>Elizabeth Arnold, U.S. Department of Energy</t>
  </si>
  <si>
    <t>For any feedback, comments, or questions on the tool, please contact James.Elsworth@nrel.gov</t>
  </si>
  <si>
    <t>A memo and powerpoint deck with more information and instructions on how to use this tool are available at https://www.nrel.gov/state-local-tribal/multi-lab-planning-support-puerto-rico.html</t>
  </si>
  <si>
    <t>This tool is also available for download from https://www.nrel.gov/research/data-tools-alpha.html</t>
  </si>
  <si>
    <t>Percent Reduction in Electricity Consumption from PREB-Specified Baseline in 2040*</t>
  </si>
  <si>
    <t>Percent Reduction in Electricity Consumption from Selected PREESAT Baseline BAU in 2040</t>
  </si>
  <si>
    <t>*P.L. 17-2019 Target: 30% below PREPA FY19 sales</t>
  </si>
  <si>
    <t>FY19 Sales (GWh):</t>
  </si>
  <si>
    <t>Input (1)</t>
  </si>
  <si>
    <t>Input (2)</t>
  </si>
  <si>
    <t>Input (3)</t>
  </si>
  <si>
    <t>Input (4)</t>
  </si>
  <si>
    <t>Input (5)</t>
  </si>
  <si>
    <t>Input (6)</t>
  </si>
  <si>
    <t>Result (1)</t>
  </si>
  <si>
    <t>Result (2)</t>
  </si>
  <si>
    <t>Result (3)</t>
  </si>
  <si>
    <t>Result (4)</t>
  </si>
  <si>
    <t>Result (5)</t>
  </si>
  <si>
    <t>Input (7)</t>
  </si>
  <si>
    <t>Year Number for Curve Fitting Purposes:</t>
  </si>
  <si>
    <t xml:space="preserve">Water Heating </t>
  </si>
  <si>
    <t>Solar Water Heater to new Solar Water Heater</t>
  </si>
  <si>
    <t>Solar Water Heater to Heat Pump</t>
  </si>
  <si>
    <t>Solar Water Heater to High Efficiency Electric Water Heater</t>
  </si>
  <si>
    <t>Standard Electric to Solar Water Heater</t>
  </si>
  <si>
    <t>Tankless to Solar Water</t>
  </si>
  <si>
    <t>Upgrade to new standard TV</t>
  </si>
  <si>
    <t>Upgrade to new standard dishwasher</t>
  </si>
  <si>
    <t>Add enthalpy wheels (heat recovery wheel/energy recovery wheel)</t>
  </si>
  <si>
    <t xml:space="preserve">     Residential Annual % Change</t>
  </si>
  <si>
    <t xml:space="preserve">     Commercial Annual % Change</t>
  </si>
  <si>
    <t xml:space="preserve">     Industrial Annual % Change</t>
  </si>
  <si>
    <t xml:space="preserve">     Street Lighting Annual % Change</t>
  </si>
  <si>
    <t xml:space="preserve">     Other Annual % Change</t>
  </si>
  <si>
    <t xml:space="preserve">     Total Annual % Change</t>
  </si>
  <si>
    <t>Upgrade to New Tankless from Existing Tankless</t>
  </si>
  <si>
    <t>The National Laboratory of the Rockies (NLR) is operated for the U.S. Department of Energy (DOE) under Contract No. DE-AC36-08GO28308.</t>
  </si>
  <si>
    <t>Access to or use of any data or software made available on this server ("Data") shall impose the following obligations on the user, and use of the Data constitutes user's agreement to these terms. The user is granted the right, without any fee or cost, to use or copy the Data, provided that this entire notice appears in all copies of the Data. Further, the user agrees to credit DOE/NLR in any publication that results from the use of the Data. The names DOE/NLR, however, may not be used in any advertising or publicity to endorse or promote any products or commercial entities unless specific written permission is obtained from DOE/NLR. The user also understands that DOE/NLR are not obligated to provide the user with any support, consulting, training or assistance of any kind with regard to the use of the Data or to provide the user with any updates, revisions or new versions thereof. DOE and NLR do not guarantee or endorse any results generated by use of the Data, and user is entirely responsible for the results and any reliance on the results or the Data in general.</t>
  </si>
  <si>
    <t>USER AGREES TO INDEMNIFY DOE/NLR AND ITS SUBSIDIARIES, AFFILIATES, OFFICERS, AGENTS, AND EMPLOYEES AGAINST ANY CLAIM OR DEMAND, INCLUDING REASONABLE ATTORNEYS' FEES, RELATED TO USER'S USE OF THE DATA. THE DATA ARE PROVIDED BY DOE/NLR "AS IS," AND ANY EXPRESS OR IMPLIED WARRANTIES, INCLUDING BUT NOT LIMITED TO THE IMPLIED WARRANTIES OF MERCHANTABILITY AND FITNESS FOR A PARTICULAR PURPOSE ARE DISCLAIMED. DOE/NLR ASSUME NO LEGAL LIABILITY OR RESPONSIBILITY FOR THE ACCURACY, COMPLETENESS, OR USEFULNESS OF THE DATA, OR REPRESENT THAT ITS USE WOULD NOT INFRINGE PRIVATELY OWNED RIGHTS. IN NO EVENT SHALL DOE/NLR BE LIABLE FOR ANY SPECIAL, INDIRECT OR CONSEQUENTIAL DAMAGES OR ANY DAMAGES WHATSOEVER, INCLUDING BUT NOT LIMITED TO CLAIMS ASSOCIATED WITH THE LOSS OF DATA OR PROFITS, THAT MAY RESULT FROM AN ACTION IN CONTRACT, NEGLIGENCE OR OTHER TORTIOUS CLAIM THAT ARISES OUT OF OR IN CONNECTION WITH THE ACCESS, USE OR PERFORMANCE OF THE DATA.</t>
  </si>
  <si>
    <t>Monisha Shah, National Laboratory of the Rockies</t>
  </si>
  <si>
    <t>James Elsworth, National Laboratory of the Rockies</t>
  </si>
  <si>
    <t>Prateek Joshi, National Laboratory of the Rockies</t>
  </si>
  <si>
    <t>Ricardo Castillo, National Laboratory of the Rockies</t>
  </si>
  <si>
    <t>Kosol Kiatreungwattana, National Laboratory of the Rockies</t>
  </si>
  <si>
    <t>NLR ANALYSIS - CURRENT SCENARIO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</si>
</sst>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3" formatCode="_(* #,##0.00_);_(* \(#,##0.00\);_(* &quot;-&quot;??_);_(@_)"/>
    <numFmt numFmtId="164" formatCode="0.0%"/>
    <numFmt numFmtId="165" formatCode="[$-409]m/d/yy\ h:mm\ AM/PM;@"/>
    <numFmt numFmtId="166" formatCode="_(* #,##0_);_(* \(#,##0\);_(* &quot;-&quot;??_);_(@_)"/>
    <numFmt numFmtId="167" formatCode="_(* #,##0.0_);_(* \(#,##0.0\);_(* &quot;-&quot;??_);_(@_)"/>
    <numFmt numFmtId="168" formatCode="_(* #,##0.000_);_(* \(#,##0.000\);_(* &quot;-&quot;??_);_(@_)"/>
    <numFmt numFmtId="169" formatCode="0.0"/>
  </numFmts>
  <fonts count="68" x14ac:knownFonts="1">
    <font>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i/>
      <sz val="11"/>
      <color theme="1"/>
      <name val="Calibri"/>
      <family val="2"/>
      <scheme val="minor"/>
    </font>
    <font>
      <sz val="8"/>
      <color theme="1"/>
      <name val="Calibri"/>
      <family val="2"/>
      <scheme val="minor"/>
    </font>
    <font>
      <sz val="8"/>
      <name val="Calibri"/>
      <family val="2"/>
      <scheme val="minor"/>
    </font>
    <font>
      <b/>
      <i/>
      <sz val="11"/>
      <color theme="1"/>
      <name val="Calibri"/>
      <family val="2"/>
      <scheme val="minor"/>
    </font>
    <font>
      <b/>
      <sz val="18"/>
      <color theme="1"/>
      <name val="Calibri"/>
      <family val="2"/>
      <scheme val="minor"/>
    </font>
    <font>
      <i/>
      <sz val="11"/>
      <color rgb="FF7F7F7F"/>
      <name val="Calibri"/>
      <family val="2"/>
      <scheme val="minor"/>
    </font>
    <font>
      <i/>
      <sz val="11"/>
      <color rgb="FF0000FF"/>
      <name val="Calibri"/>
      <family val="2"/>
      <scheme val="minor"/>
    </font>
    <font>
      <b/>
      <sz val="11"/>
      <color theme="0"/>
      <name val="Calibri"/>
      <family val="2"/>
      <scheme val="minor"/>
    </font>
    <font>
      <b/>
      <sz val="8"/>
      <color indexed="8"/>
      <name val="Arial"/>
      <family val="2"/>
    </font>
    <font>
      <sz val="8"/>
      <color indexed="8"/>
      <name val="Arial"/>
      <family val="2"/>
    </font>
    <font>
      <b/>
      <sz val="16"/>
      <color rgb="FF00B050"/>
      <name val="Calibri"/>
      <family val="2"/>
      <scheme val="minor"/>
    </font>
    <font>
      <sz val="11"/>
      <color rgb="FF00B050"/>
      <name val="Calibri"/>
      <family val="2"/>
      <scheme val="minor"/>
    </font>
    <font>
      <b/>
      <sz val="11"/>
      <color rgb="FF0070C0"/>
      <name val="Calibri"/>
      <family val="2"/>
      <scheme val="minor"/>
    </font>
    <font>
      <b/>
      <sz val="11"/>
      <color rgb="FF00B050"/>
      <name val="Calibri"/>
      <family val="2"/>
      <scheme val="minor"/>
    </font>
    <font>
      <b/>
      <sz val="11"/>
      <color rgb="FF3F3F76"/>
      <name val="Calibri"/>
      <family val="2"/>
      <scheme val="minor"/>
    </font>
    <font>
      <sz val="11"/>
      <color rgb="FF0070C0"/>
      <name val="Calibri"/>
      <family val="2"/>
      <scheme val="minor"/>
    </font>
    <font>
      <i/>
      <sz val="11"/>
      <color rgb="FF0070C0"/>
      <name val="Calibri"/>
      <family val="2"/>
      <scheme val="minor"/>
    </font>
    <font>
      <i/>
      <sz val="11"/>
      <color rgb="FF00B050"/>
      <name val="Calibri"/>
      <family val="2"/>
      <scheme val="minor"/>
    </font>
    <font>
      <i/>
      <sz val="11"/>
      <color rgb="FFFF0000"/>
      <name val="Calibri"/>
      <family val="2"/>
      <scheme val="minor"/>
    </font>
    <font>
      <sz val="12"/>
      <color rgb="FF00B050"/>
      <name val="Calibri"/>
      <family val="2"/>
      <scheme val="minor"/>
    </font>
    <font>
      <sz val="12"/>
      <color theme="1"/>
      <name val="Calibri"/>
      <family val="2"/>
      <scheme val="minor"/>
    </font>
    <font>
      <sz val="14"/>
      <color rgb="FF3F3F76"/>
      <name val="Calibri"/>
      <family val="2"/>
      <scheme val="minor"/>
    </font>
    <font>
      <sz val="11"/>
      <color theme="4" tint="-0.249977111117893"/>
      <name val="Calibri"/>
      <family val="2"/>
      <scheme val="minor"/>
    </font>
    <font>
      <sz val="12"/>
      <color rgb="FF032F62"/>
      <name val="Consolas"/>
      <family val="2"/>
    </font>
    <font>
      <sz val="12"/>
      <color rgb="FF24292E"/>
      <name val="Consolas"/>
      <family val="2"/>
    </font>
    <font>
      <sz val="12"/>
      <color rgb="FF005CC5"/>
      <name val="Consolas"/>
      <family val="2"/>
    </font>
    <font>
      <sz val="8"/>
      <color indexed="8"/>
      <name val="MS Sans Serif"/>
      <family val="2"/>
    </font>
    <font>
      <sz val="11"/>
      <color theme="0" tint="-0.34998626667073579"/>
      <name val="Calibri"/>
      <family val="2"/>
      <scheme val="minor"/>
    </font>
    <font>
      <b/>
      <sz val="11"/>
      <color theme="0" tint="-0.34998626667073579"/>
      <name val="Calibri"/>
      <family val="2"/>
      <scheme val="minor"/>
    </font>
    <font>
      <b/>
      <u/>
      <sz val="11"/>
      <color theme="1"/>
      <name val="Calibri"/>
      <family val="2"/>
      <scheme val="minor"/>
    </font>
    <font>
      <sz val="11"/>
      <color rgb="FF000000"/>
      <name val="Calibri"/>
      <family val="2"/>
    </font>
    <font>
      <u/>
      <sz val="12"/>
      <color theme="1"/>
      <name val="Calibri"/>
      <family val="2"/>
      <scheme val="minor"/>
    </font>
    <font>
      <b/>
      <sz val="12"/>
      <name val="Calibri"/>
      <family val="2"/>
      <scheme val="minor"/>
    </font>
    <font>
      <i/>
      <sz val="14"/>
      <color theme="1"/>
      <name val="Calibri"/>
      <family val="2"/>
      <scheme val="minor"/>
    </font>
    <font>
      <b/>
      <u/>
      <sz val="14"/>
      <color theme="1"/>
      <name val="Calibri"/>
      <family val="2"/>
      <scheme val="minor"/>
    </font>
    <font>
      <sz val="11"/>
      <color rgb="FF000000"/>
      <name val="Calibri"/>
      <family val="2"/>
      <scheme val="minor"/>
    </font>
    <font>
      <i/>
      <sz val="12"/>
      <color theme="1"/>
      <name val="Calibri"/>
      <family val="2"/>
      <scheme val="minor"/>
    </font>
    <font>
      <sz val="10"/>
      <color theme="1"/>
      <name val="Calibri"/>
      <family val="2"/>
      <scheme val="minor"/>
    </font>
    <font>
      <sz val="10.5"/>
      <color theme="1"/>
      <name val="Calibri"/>
      <family val="2"/>
      <scheme val="minor"/>
    </font>
    <font>
      <b/>
      <sz val="14"/>
      <name val="Calibri"/>
      <family val="2"/>
      <scheme val="minor"/>
    </font>
    <font>
      <b/>
      <sz val="14"/>
      <color rgb="FF00B050"/>
      <name val="Calibri"/>
      <family val="2"/>
      <scheme val="minor"/>
    </font>
    <font>
      <sz val="10"/>
      <color rgb="FFFF0000"/>
      <name val="Calibri"/>
      <family val="2"/>
      <scheme val="minor"/>
    </font>
    <font>
      <sz val="10"/>
      <color rgb="FF000000"/>
      <name val="Calibri"/>
      <family val="2"/>
      <scheme val="minor"/>
    </font>
    <font>
      <u/>
      <sz val="11"/>
      <color theme="10"/>
      <name val="Calibri"/>
      <family val="2"/>
      <scheme val="minor"/>
    </font>
    <font>
      <sz val="11"/>
      <name val="Calibri"/>
      <family val="2"/>
      <scheme val="minor"/>
    </font>
    <font>
      <b/>
      <u/>
      <sz val="14"/>
      <color rgb="FF000000"/>
      <name val="Calibri"/>
      <family val="2"/>
      <scheme val="minor"/>
    </font>
    <font>
      <b/>
      <sz val="14"/>
      <color theme="4"/>
      <name val="Calibri"/>
      <family val="2"/>
      <scheme val="minor"/>
    </font>
    <font>
      <b/>
      <sz val="12"/>
      <color rgb="FF3F3F76"/>
      <name val="Calibri"/>
      <family val="2"/>
      <scheme val="minor"/>
    </font>
    <font>
      <b/>
      <sz val="16"/>
      <name val="Calibri"/>
      <family val="2"/>
      <scheme val="minor"/>
    </font>
    <font>
      <sz val="14"/>
      <color theme="1"/>
      <name val="Calibri"/>
      <family val="2"/>
      <scheme val="minor"/>
    </font>
    <font>
      <b/>
      <sz val="12"/>
      <color rgb="FF00B050"/>
      <name val="Calibri"/>
      <family val="2"/>
      <scheme val="minor"/>
    </font>
    <font>
      <b/>
      <sz val="12"/>
      <color theme="4"/>
      <name val="Calibri"/>
      <family val="2"/>
      <scheme val="minor"/>
    </font>
    <font>
      <b/>
      <sz val="20"/>
      <color theme="3"/>
      <name val="Arial"/>
      <family val="2"/>
    </font>
    <font>
      <b/>
      <sz val="18"/>
      <color theme="3"/>
      <name val="Arial"/>
      <family val="2"/>
    </font>
    <font>
      <sz val="16.5"/>
      <color theme="4"/>
      <name val="Roboto"/>
    </font>
    <font>
      <sz val="11"/>
      <color theme="4"/>
      <name val="Calibri"/>
      <family val="2"/>
      <scheme val="minor"/>
    </font>
    <font>
      <sz val="12"/>
      <color theme="4"/>
      <name val="Roboto"/>
    </font>
    <font>
      <b/>
      <sz val="13"/>
      <name val="Calibri"/>
      <family val="2"/>
      <scheme val="minor"/>
    </font>
  </fonts>
  <fills count="28">
    <fill>
      <patternFill patternType="none"/>
    </fill>
    <fill>
      <patternFill patternType="gray125"/>
    </fill>
    <fill>
      <patternFill patternType="solid">
        <fgColor rgb="FFFFCC99"/>
      </patternFill>
    </fill>
    <fill>
      <patternFill patternType="solid">
        <fgColor rgb="FFF2F2F2"/>
      </patternFill>
    </fill>
    <fill>
      <patternFill patternType="solid">
        <fgColor theme="1"/>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FFFFFF"/>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00"/>
        <bgColor theme="4" tint="0.79998168889431442"/>
      </patternFill>
    </fill>
    <fill>
      <patternFill patternType="solid">
        <fgColor rgb="FFFFFF00"/>
        <bgColor indexed="64"/>
      </patternFill>
    </fill>
    <fill>
      <patternFill patternType="solid">
        <fgColor theme="5" tint="-0.249977111117893"/>
        <bgColor indexed="64"/>
      </patternFill>
    </fill>
    <fill>
      <patternFill patternType="solid">
        <fgColor theme="4"/>
        <bgColor theme="4"/>
      </patternFill>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indexed="43"/>
        <bgColor indexed="9"/>
      </patternFill>
    </fill>
    <fill>
      <patternFill patternType="solid">
        <fgColor theme="7"/>
        <bgColor indexed="64"/>
      </patternFill>
    </fill>
    <fill>
      <patternFill patternType="solid">
        <fgColor indexed="43"/>
        <bgColor indexed="64"/>
      </patternFill>
    </fill>
    <fill>
      <patternFill patternType="solid">
        <fgColor theme="6"/>
        <bgColor indexed="64"/>
      </patternFill>
    </fill>
    <fill>
      <patternFill patternType="solid">
        <fgColor theme="0" tint="-0.14999847407452621"/>
        <bgColor indexed="64"/>
      </patternFill>
    </fill>
    <fill>
      <patternFill patternType="solid">
        <fgColor theme="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rgb="FFFB8C89"/>
        <bgColor indexed="64"/>
      </patternFill>
    </fill>
  </fills>
  <borders count="36">
    <border>
      <left/>
      <right/>
      <top/>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tint="0.39997558519241921"/>
      </left>
      <right/>
      <top style="thin">
        <color theme="4" tint="0.39997558519241921"/>
      </top>
      <bottom style="thin">
        <color theme="4" tint="0.3999755851924192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rgb="FF7F7F7F"/>
      </left>
      <right style="thin">
        <color rgb="FF7F7F7F"/>
      </right>
      <top style="thin">
        <color rgb="FF7F7F7F"/>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4" tint="0.39997558519241921"/>
      </left>
      <right/>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thin">
        <color theme="4" tint="0.39997558519241921"/>
      </right>
      <top/>
      <bottom/>
      <diagonal/>
    </border>
  </borders>
  <cellStyleXfs count="11">
    <xf numFmtId="0" fontId="0" fillId="0" borderId="0"/>
    <xf numFmtId="9" fontId="1" fillId="0" borderId="0" applyFont="0" applyFill="0" applyBorder="0" applyAlignment="0" applyProtection="0"/>
    <xf numFmtId="0" fontId="2" fillId="2" borderId="1" applyNumberFormat="0" applyAlignment="0" applyProtection="0"/>
    <xf numFmtId="0" fontId="3" fillId="3" borderId="1" applyNumberFormat="0" applyAlignment="0" applyProtection="0"/>
    <xf numFmtId="0" fontId="15" fillId="0" borderId="0" applyNumberFormat="0" applyFill="0" applyBorder="0" applyAlignment="0" applyProtection="0"/>
    <xf numFmtId="43" fontId="1" fillId="0" borderId="0" applyFont="0" applyFill="0" applyBorder="0" applyAlignment="0" applyProtection="0"/>
    <xf numFmtId="165" fontId="16" fillId="0" borderId="0" applyNumberFormat="0" applyFill="0" applyBorder="0" applyAlignment="0">
      <protection locked="0"/>
    </xf>
    <xf numFmtId="0" fontId="30" fillId="0" borderId="0"/>
    <xf numFmtId="0" fontId="15" fillId="0" borderId="0" applyNumberFormat="0" applyFill="0" applyBorder="0" applyAlignment="0" applyProtection="0"/>
    <xf numFmtId="0" fontId="2" fillId="2" borderId="1" applyNumberFormat="0" applyAlignment="0" applyProtection="0"/>
    <xf numFmtId="0" fontId="53" fillId="0" borderId="0" applyNumberFormat="0" applyFill="0" applyBorder="0" applyAlignment="0" applyProtection="0"/>
  </cellStyleXfs>
  <cellXfs count="544">
    <xf numFmtId="0" fontId="0" fillId="0" borderId="0" xfId="0"/>
    <xf numFmtId="9" fontId="0" fillId="0" borderId="0" xfId="0" applyNumberFormat="1"/>
    <xf numFmtId="1" fontId="0" fillId="0" borderId="0" xfId="0" applyNumberFormat="1"/>
    <xf numFmtId="0" fontId="5" fillId="0" borderId="0" xfId="0" applyFont="1"/>
    <xf numFmtId="9" fontId="2" fillId="2" borderId="1" xfId="2" applyNumberFormat="1"/>
    <xf numFmtId="0" fontId="5" fillId="4" borderId="0" xfId="0" applyFont="1" applyFill="1"/>
    <xf numFmtId="0" fontId="0" fillId="4" borderId="0" xfId="0" applyFill="1"/>
    <xf numFmtId="0" fontId="5" fillId="0" borderId="3" xfId="0" applyFont="1" applyBorder="1"/>
    <xf numFmtId="1" fontId="4" fillId="0" borderId="8" xfId="0" applyNumberFormat="1" applyFont="1" applyBorder="1"/>
    <xf numFmtId="9" fontId="0" fillId="0" borderId="0" xfId="1" applyFont="1"/>
    <xf numFmtId="0" fontId="0" fillId="6" borderId="10" xfId="0" applyFill="1" applyBorder="1"/>
    <xf numFmtId="0" fontId="0" fillId="0" borderId="10" xfId="0" applyBorder="1"/>
    <xf numFmtId="0" fontId="0" fillId="5" borderId="4" xfId="0" applyFill="1" applyBorder="1"/>
    <xf numFmtId="0" fontId="8" fillId="0" borderId="0" xfId="0" applyFont="1"/>
    <xf numFmtId="164" fontId="0" fillId="0" borderId="0" xfId="1" applyNumberFormat="1" applyFont="1"/>
    <xf numFmtId="0" fontId="0" fillId="5" borderId="2" xfId="0" applyFill="1" applyBorder="1"/>
    <xf numFmtId="0" fontId="5" fillId="5" borderId="4" xfId="0" applyFont="1" applyFill="1" applyBorder="1"/>
    <xf numFmtId="0" fontId="10" fillId="0" borderId="0" xfId="0" applyFont="1"/>
    <xf numFmtId="0" fontId="5" fillId="0" borderId="5" xfId="0" applyFont="1" applyBorder="1"/>
    <xf numFmtId="0" fontId="11" fillId="0" borderId="0" xfId="0" applyFont="1"/>
    <xf numFmtId="3" fontId="0" fillId="0" borderId="0" xfId="0" applyNumberFormat="1"/>
    <xf numFmtId="10" fontId="3" fillId="3" borderId="1" xfId="3" applyNumberFormat="1"/>
    <xf numFmtId="0" fontId="13" fillId="0" borderId="0" xfId="0" applyFont="1"/>
    <xf numFmtId="10" fontId="0" fillId="0" borderId="0" xfId="1" applyNumberFormat="1" applyFont="1"/>
    <xf numFmtId="0" fontId="15" fillId="0" borderId="0" xfId="4"/>
    <xf numFmtId="0" fontId="0" fillId="0" borderId="0" xfId="0" applyAlignment="1">
      <alignment horizontal="right"/>
    </xf>
    <xf numFmtId="164" fontId="0" fillId="5" borderId="7" xfId="0" applyNumberFormat="1" applyFill="1" applyBorder="1" applyAlignment="1">
      <alignment horizontal="center"/>
    </xf>
    <xf numFmtId="0" fontId="0" fillId="0" borderId="0" xfId="0" applyAlignment="1">
      <alignment horizontal="center"/>
    </xf>
    <xf numFmtId="0" fontId="0" fillId="0" borderId="15" xfId="0" applyBorder="1"/>
    <xf numFmtId="0" fontId="0" fillId="0" borderId="16" xfId="0" applyBorder="1"/>
    <xf numFmtId="0" fontId="0" fillId="8" borderId="17" xfId="0" applyFill="1" applyBorder="1"/>
    <xf numFmtId="0" fontId="0" fillId="8" borderId="0" xfId="0" applyFill="1"/>
    <xf numFmtId="0" fontId="0" fillId="9" borderId="17" xfId="0" applyFill="1" applyBorder="1"/>
    <xf numFmtId="0" fontId="0" fillId="9" borderId="0" xfId="0" applyFill="1"/>
    <xf numFmtId="0" fontId="0" fillId="0" borderId="17" xfId="0" applyBorder="1"/>
    <xf numFmtId="9" fontId="16" fillId="0" borderId="0" xfId="6" applyNumberFormat="1">
      <protection locked="0"/>
    </xf>
    <xf numFmtId="166" fontId="3" fillId="0" borderId="0" xfId="3" applyNumberFormat="1" applyFill="1" applyBorder="1"/>
    <xf numFmtId="166" fontId="3" fillId="9" borderId="0" xfId="3" applyNumberFormat="1" applyFill="1" applyBorder="1"/>
    <xf numFmtId="10" fontId="3" fillId="9" borderId="0" xfId="3" applyNumberFormat="1" applyFill="1" applyBorder="1"/>
    <xf numFmtId="0" fontId="0" fillId="10" borderId="0" xfId="0" applyFill="1"/>
    <xf numFmtId="0" fontId="0" fillId="11" borderId="0" xfId="0" applyFill="1"/>
    <xf numFmtId="2" fontId="3" fillId="0" borderId="0" xfId="3" applyNumberFormat="1" applyFill="1" applyBorder="1"/>
    <xf numFmtId="167" fontId="16" fillId="0" borderId="0" xfId="5" applyNumberFormat="1" applyFont="1" applyProtection="1">
      <protection locked="0"/>
    </xf>
    <xf numFmtId="166" fontId="3" fillId="8" borderId="0" xfId="3" applyNumberFormat="1" applyFill="1" applyBorder="1"/>
    <xf numFmtId="0" fontId="0" fillId="8" borderId="18" xfId="0" applyFill="1" applyBorder="1"/>
    <xf numFmtId="166" fontId="3" fillId="8" borderId="19" xfId="3" applyNumberFormat="1" applyFill="1" applyBorder="1"/>
    <xf numFmtId="166" fontId="0" fillId="9" borderId="0" xfId="0" applyNumberFormat="1" applyFill="1"/>
    <xf numFmtId="9" fontId="2" fillId="2" borderId="1" xfId="2" applyNumberFormat="1" applyProtection="1">
      <protection locked="0"/>
    </xf>
    <xf numFmtId="166" fontId="2" fillId="2" borderId="1" xfId="2" applyNumberFormat="1"/>
    <xf numFmtId="166" fontId="3" fillId="3" borderId="1" xfId="3" applyNumberFormat="1"/>
    <xf numFmtId="0" fontId="2" fillId="2" borderId="1" xfId="2"/>
    <xf numFmtId="2" fontId="2" fillId="2" borderId="1" xfId="2" applyNumberFormat="1"/>
    <xf numFmtId="9" fontId="3" fillId="3" borderId="1" xfId="3" applyNumberFormat="1"/>
    <xf numFmtId="10" fontId="0" fillId="0" borderId="0" xfId="1" applyNumberFormat="1" applyFont="1" applyAlignment="1">
      <alignment horizontal="center"/>
    </xf>
    <xf numFmtId="9" fontId="2" fillId="2" borderId="1" xfId="2" applyNumberFormat="1" applyAlignment="1">
      <alignment horizontal="center"/>
    </xf>
    <xf numFmtId="0" fontId="0" fillId="12" borderId="17" xfId="0" applyFill="1" applyBorder="1"/>
    <xf numFmtId="0" fontId="0" fillId="12" borderId="0" xfId="0" applyFill="1"/>
    <xf numFmtId="0" fontId="3" fillId="3" borderId="1" xfId="3"/>
    <xf numFmtId="1" fontId="2" fillId="2" borderId="1" xfId="2" applyNumberFormat="1"/>
    <xf numFmtId="9" fontId="2" fillId="2" borderId="1" xfId="1" applyFont="1" applyFill="1" applyBorder="1"/>
    <xf numFmtId="10" fontId="2" fillId="2" borderId="1" xfId="1" applyNumberFormat="1" applyFont="1" applyFill="1" applyBorder="1"/>
    <xf numFmtId="10" fontId="0" fillId="0" borderId="0" xfId="1" applyNumberFormat="1" applyFont="1" applyBorder="1" applyAlignment="1">
      <alignment horizontal="center"/>
    </xf>
    <xf numFmtId="0" fontId="2" fillId="2" borderId="20" xfId="2" applyBorder="1" applyAlignment="1">
      <alignment horizontal="center"/>
    </xf>
    <xf numFmtId="10" fontId="0" fillId="0" borderId="0" xfId="0" applyNumberFormat="1"/>
    <xf numFmtId="0" fontId="17" fillId="13" borderId="0" xfId="0" applyFont="1" applyFill="1"/>
    <xf numFmtId="164" fontId="0" fillId="0" borderId="0" xfId="0" applyNumberFormat="1"/>
    <xf numFmtId="0" fontId="9" fillId="5" borderId="13" xfId="0" applyFont="1" applyFill="1" applyBorder="1" applyAlignment="1">
      <alignment horizontal="center"/>
    </xf>
    <xf numFmtId="10" fontId="9" fillId="5" borderId="14" xfId="1" applyNumberFormat="1" applyFont="1" applyFill="1" applyBorder="1" applyAlignment="1">
      <alignment horizontal="center"/>
    </xf>
    <xf numFmtId="0" fontId="5" fillId="5" borderId="2" xfId="0" applyFont="1" applyFill="1" applyBorder="1"/>
    <xf numFmtId="0" fontId="5" fillId="5" borderId="3" xfId="0" applyFont="1" applyFill="1" applyBorder="1"/>
    <xf numFmtId="0" fontId="5" fillId="5" borderId="5" xfId="0" applyFont="1" applyFill="1" applyBorder="1"/>
    <xf numFmtId="0" fontId="5" fillId="5" borderId="6" xfId="0" applyFont="1" applyFill="1" applyBorder="1"/>
    <xf numFmtId="10" fontId="5" fillId="5" borderId="6" xfId="0" applyNumberFormat="1" applyFont="1" applyFill="1" applyBorder="1"/>
    <xf numFmtId="0" fontId="5" fillId="5" borderId="7" xfId="0" applyFont="1" applyFill="1" applyBorder="1"/>
    <xf numFmtId="9" fontId="5" fillId="5" borderId="8" xfId="0" applyNumberFormat="1" applyFont="1" applyFill="1" applyBorder="1"/>
    <xf numFmtId="10" fontId="5" fillId="5" borderId="8" xfId="0" applyNumberFormat="1" applyFont="1" applyFill="1" applyBorder="1"/>
    <xf numFmtId="10" fontId="5" fillId="5" borderId="9" xfId="0" applyNumberFormat="1" applyFont="1" applyFill="1" applyBorder="1"/>
    <xf numFmtId="0" fontId="0" fillId="0" borderId="5" xfId="0" applyBorder="1"/>
    <xf numFmtId="166" fontId="3" fillId="0" borderId="0" xfId="3" applyNumberFormat="1" applyFill="1" applyBorder="1" applyAlignment="1"/>
    <xf numFmtId="0" fontId="0" fillId="15" borderId="0" xfId="0" applyFill="1"/>
    <xf numFmtId="1" fontId="0" fillId="15" borderId="0" xfId="0" applyNumberFormat="1" applyFill="1"/>
    <xf numFmtId="0" fontId="0" fillId="15" borderId="16" xfId="0" applyFill="1" applyBorder="1"/>
    <xf numFmtId="166" fontId="0" fillId="0" borderId="0" xfId="0" applyNumberFormat="1"/>
    <xf numFmtId="43" fontId="0" fillId="0" borderId="0" xfId="0" applyNumberFormat="1"/>
    <xf numFmtId="166" fontId="2" fillId="2" borderId="0" xfId="2" applyNumberFormat="1" applyBorder="1"/>
    <xf numFmtId="1" fontId="5" fillId="5" borderId="6" xfId="0" applyNumberFormat="1" applyFont="1" applyFill="1" applyBorder="1"/>
    <xf numFmtId="1" fontId="5" fillId="5" borderId="8" xfId="0" applyNumberFormat="1" applyFont="1" applyFill="1" applyBorder="1"/>
    <xf numFmtId="1" fontId="5" fillId="5" borderId="9" xfId="0" applyNumberFormat="1" applyFont="1" applyFill="1" applyBorder="1"/>
    <xf numFmtId="0" fontId="0" fillId="11" borderId="17" xfId="0" applyFill="1" applyBorder="1"/>
    <xf numFmtId="0" fontId="5" fillId="0" borderId="11" xfId="0" applyFont="1" applyBorder="1"/>
    <xf numFmtId="0" fontId="0" fillId="0" borderId="12" xfId="0" applyBorder="1"/>
    <xf numFmtId="0" fontId="0" fillId="0" borderId="7" xfId="0" applyBorder="1"/>
    <xf numFmtId="0" fontId="0" fillId="0" borderId="2" xfId="0" applyBorder="1"/>
    <xf numFmtId="166" fontId="10" fillId="0" borderId="3" xfId="5" applyNumberFormat="1" applyFont="1" applyFill="1" applyBorder="1" applyAlignment="1"/>
    <xf numFmtId="166" fontId="10" fillId="0" borderId="4" xfId="5" applyNumberFormat="1" applyFont="1" applyFill="1" applyBorder="1" applyAlignment="1"/>
    <xf numFmtId="166" fontId="10" fillId="0" borderId="0" xfId="5" applyNumberFormat="1" applyFont="1" applyFill="1" applyBorder="1" applyAlignment="1"/>
    <xf numFmtId="166" fontId="10" fillId="0" borderId="6" xfId="5" applyNumberFormat="1" applyFont="1" applyFill="1" applyBorder="1" applyAlignment="1"/>
    <xf numFmtId="166" fontId="10" fillId="0" borderId="8" xfId="5" applyNumberFormat="1" applyFont="1" applyFill="1" applyBorder="1" applyAlignment="1"/>
    <xf numFmtId="166" fontId="10" fillId="0" borderId="9" xfId="5" applyNumberFormat="1" applyFont="1" applyFill="1" applyBorder="1" applyAlignment="1"/>
    <xf numFmtId="0" fontId="14" fillId="0" borderId="0" xfId="0" applyFont="1"/>
    <xf numFmtId="6" fontId="0" fillId="0" borderId="0" xfId="0" applyNumberFormat="1"/>
    <xf numFmtId="2" fontId="0" fillId="0" borderId="0" xfId="1" applyNumberFormat="1" applyFont="1"/>
    <xf numFmtId="1" fontId="0" fillId="0" borderId="0" xfId="1" applyNumberFormat="1" applyFont="1"/>
    <xf numFmtId="0" fontId="0" fillId="17" borderId="0" xfId="0" applyFill="1"/>
    <xf numFmtId="0" fontId="0" fillId="0" borderId="23" xfId="0" applyBorder="1"/>
    <xf numFmtId="0" fontId="0" fillId="6" borderId="23" xfId="0" applyFill="1" applyBorder="1"/>
    <xf numFmtId="9" fontId="0" fillId="0" borderId="0" xfId="1" applyFont="1" applyFill="1"/>
    <xf numFmtId="0" fontId="0" fillId="0" borderId="0" xfId="0" applyAlignment="1">
      <alignment vertical="top" wrapText="1"/>
    </xf>
    <xf numFmtId="0" fontId="10" fillId="0" borderId="0" xfId="0" applyFont="1" applyAlignment="1">
      <alignment horizontal="right" wrapText="1"/>
    </xf>
    <xf numFmtId="166" fontId="0" fillId="0" borderId="0" xfId="5" applyNumberFormat="1" applyFont="1"/>
    <xf numFmtId="9" fontId="1" fillId="0" borderId="0" xfId="3" applyNumberFormat="1" applyFont="1" applyFill="1" applyBorder="1" applyAlignment="1"/>
    <xf numFmtId="43" fontId="0" fillId="0" borderId="0" xfId="5" applyFont="1"/>
    <xf numFmtId="0" fontId="0" fillId="6" borderId="24" xfId="0" applyFill="1" applyBorder="1"/>
    <xf numFmtId="9" fontId="21" fillId="0" borderId="0" xfId="1" applyFont="1"/>
    <xf numFmtId="0" fontId="0" fillId="0" borderId="24" xfId="0" applyBorder="1"/>
    <xf numFmtId="166" fontId="21" fillId="0" borderId="0" xfId="5" applyNumberFormat="1" applyFont="1" applyBorder="1"/>
    <xf numFmtId="166" fontId="21" fillId="0" borderId="0" xfId="5" applyNumberFormat="1" applyFont="1"/>
    <xf numFmtId="0" fontId="21" fillId="0" borderId="0" xfId="0" applyFont="1"/>
    <xf numFmtId="9" fontId="10" fillId="0" borderId="0" xfId="6" applyNumberFormat="1" applyFont="1" applyBorder="1">
      <protection locked="0"/>
    </xf>
    <xf numFmtId="9" fontId="27" fillId="0" borderId="0" xfId="6" applyNumberFormat="1" applyFont="1" applyBorder="1">
      <protection locked="0"/>
    </xf>
    <xf numFmtId="166" fontId="1" fillId="0" borderId="0" xfId="3" applyNumberFormat="1" applyFont="1" applyFill="1" applyBorder="1" applyAlignment="1"/>
    <xf numFmtId="166" fontId="23" fillId="0" borderId="0" xfId="3" applyNumberFormat="1" applyFont="1" applyFill="1" applyBorder="1" applyAlignment="1"/>
    <xf numFmtId="0" fontId="21" fillId="9" borderId="0" xfId="0" applyFont="1" applyFill="1"/>
    <xf numFmtId="9" fontId="10" fillId="0" borderId="0" xfId="6" applyNumberFormat="1" applyFont="1" applyFill="1" applyBorder="1" applyAlignment="1">
      <protection locked="0"/>
    </xf>
    <xf numFmtId="9" fontId="27" fillId="0" borderId="0" xfId="6" applyNumberFormat="1" applyFont="1" applyFill="1" applyBorder="1" applyAlignment="1">
      <protection locked="0"/>
    </xf>
    <xf numFmtId="166" fontId="1" fillId="9" borderId="0" xfId="3" applyNumberFormat="1" applyFont="1" applyFill="1" applyBorder="1" applyAlignment="1"/>
    <xf numFmtId="166" fontId="23" fillId="9" borderId="0" xfId="3" applyNumberFormat="1" applyFont="1" applyFill="1" applyBorder="1" applyAlignment="1"/>
    <xf numFmtId="0" fontId="21" fillId="8" borderId="0" xfId="0" applyFont="1" applyFill="1"/>
    <xf numFmtId="10" fontId="1" fillId="9" borderId="0" xfId="3" applyNumberFormat="1" applyFont="1" applyFill="1" applyBorder="1" applyAlignment="1"/>
    <xf numFmtId="10" fontId="23" fillId="9" borderId="0" xfId="3" applyNumberFormat="1" applyFont="1" applyFill="1" applyBorder="1" applyAlignment="1"/>
    <xf numFmtId="2" fontId="1" fillId="16" borderId="0" xfId="3" applyNumberFormat="1" applyFont="1" applyFill="1" applyBorder="1" applyAlignment="1"/>
    <xf numFmtId="2" fontId="23" fillId="16" borderId="0" xfId="3" applyNumberFormat="1" applyFont="1" applyFill="1" applyBorder="1" applyAlignment="1"/>
    <xf numFmtId="0" fontId="1" fillId="16" borderId="0" xfId="3" applyNumberFormat="1" applyFont="1" applyFill="1" applyBorder="1" applyAlignment="1"/>
    <xf numFmtId="0" fontId="23" fillId="16" borderId="0" xfId="3" applyNumberFormat="1" applyFont="1" applyFill="1" applyBorder="1" applyAlignment="1"/>
    <xf numFmtId="166" fontId="21" fillId="9" borderId="0" xfId="0" applyNumberFormat="1" applyFont="1" applyFill="1"/>
    <xf numFmtId="166" fontId="23" fillId="20" borderId="0" xfId="3" applyNumberFormat="1" applyFont="1" applyFill="1" applyBorder="1" applyAlignment="1"/>
    <xf numFmtId="166" fontId="21" fillId="0" borderId="0" xfId="0" applyNumberFormat="1" applyFont="1"/>
    <xf numFmtId="9" fontId="10" fillId="0" borderId="0" xfId="6" applyNumberFormat="1" applyFont="1" applyFill="1" applyBorder="1">
      <protection locked="0"/>
    </xf>
    <xf numFmtId="9" fontId="27" fillId="0" borderId="0" xfId="6" applyNumberFormat="1" applyFont="1" applyFill="1" applyBorder="1">
      <protection locked="0"/>
    </xf>
    <xf numFmtId="2" fontId="1" fillId="0" borderId="0" xfId="3" applyNumberFormat="1" applyFont="1" applyFill="1" applyBorder="1" applyAlignment="1"/>
    <xf numFmtId="2" fontId="23" fillId="0" borderId="0" xfId="3" applyNumberFormat="1" applyFont="1" applyFill="1" applyBorder="1" applyAlignment="1"/>
    <xf numFmtId="166" fontId="10" fillId="9" borderId="0" xfId="6" applyNumberFormat="1" applyFont="1" applyFill="1" applyBorder="1">
      <protection locked="0"/>
    </xf>
    <xf numFmtId="166" fontId="27" fillId="9" borderId="0" xfId="6" applyNumberFormat="1" applyFont="1" applyFill="1" applyBorder="1">
      <protection locked="0"/>
    </xf>
    <xf numFmtId="2" fontId="1" fillId="11" borderId="0" xfId="3" applyNumberFormat="1" applyFont="1" applyFill="1" applyBorder="1" applyAlignment="1"/>
    <xf numFmtId="2" fontId="23" fillId="11" borderId="0" xfId="3" applyNumberFormat="1" applyFont="1" applyFill="1" applyBorder="1" applyAlignment="1"/>
    <xf numFmtId="166" fontId="1" fillId="11" borderId="0" xfId="3" applyNumberFormat="1" applyFont="1" applyFill="1" applyBorder="1" applyAlignment="1"/>
    <xf numFmtId="166" fontId="23" fillId="11" borderId="0" xfId="3" applyNumberFormat="1" applyFont="1" applyFill="1" applyBorder="1" applyAlignment="1"/>
    <xf numFmtId="167" fontId="10" fillId="0" borderId="0" xfId="5" applyNumberFormat="1" applyFont="1" applyFill="1" applyBorder="1" applyAlignment="1" applyProtection="1">
      <protection locked="0"/>
    </xf>
    <xf numFmtId="167" fontId="27" fillId="0" borderId="0" xfId="5" applyNumberFormat="1" applyFont="1" applyFill="1" applyBorder="1" applyAlignment="1" applyProtection="1">
      <protection locked="0"/>
    </xf>
    <xf numFmtId="166" fontId="1" fillId="8" borderId="0" xfId="3" applyNumberFormat="1" applyFont="1" applyFill="1" applyBorder="1" applyAlignment="1"/>
    <xf numFmtId="166" fontId="23" fillId="8" borderId="0" xfId="3" applyNumberFormat="1" applyFont="1" applyFill="1" applyBorder="1" applyAlignment="1"/>
    <xf numFmtId="166" fontId="1" fillId="8" borderId="19" xfId="3" applyNumberFormat="1" applyFont="1" applyFill="1" applyBorder="1" applyAlignment="1"/>
    <xf numFmtId="166" fontId="23" fillId="8" borderId="19" xfId="3" applyNumberFormat="1" applyFont="1" applyFill="1" applyBorder="1" applyAlignment="1"/>
    <xf numFmtId="0" fontId="1" fillId="0" borderId="6" xfId="3" applyNumberFormat="1" applyFont="1" applyFill="1" applyBorder="1" applyAlignment="1"/>
    <xf numFmtId="1" fontId="21" fillId="0" borderId="0" xfId="0" applyNumberFormat="1" applyFont="1"/>
    <xf numFmtId="10" fontId="1" fillId="8" borderId="19" xfId="3" applyNumberFormat="1" applyFont="1" applyFill="1" applyBorder="1" applyAlignment="1"/>
    <xf numFmtId="10" fontId="23" fillId="8" borderId="19" xfId="3" applyNumberFormat="1" applyFont="1" applyFill="1" applyBorder="1" applyAlignment="1"/>
    <xf numFmtId="166" fontId="27" fillId="0" borderId="3" xfId="5" applyNumberFormat="1" applyFont="1" applyFill="1" applyBorder="1" applyAlignment="1"/>
    <xf numFmtId="166" fontId="27" fillId="0" borderId="4" xfId="5" applyNumberFormat="1" applyFont="1" applyFill="1" applyBorder="1" applyAlignment="1"/>
    <xf numFmtId="166" fontId="27" fillId="0" borderId="0" xfId="5" applyNumberFormat="1" applyFont="1" applyFill="1" applyBorder="1" applyAlignment="1"/>
    <xf numFmtId="166" fontId="27" fillId="0" borderId="6" xfId="5" applyNumberFormat="1" applyFont="1" applyFill="1" applyBorder="1" applyAlignment="1"/>
    <xf numFmtId="166" fontId="27" fillId="0" borderId="8" xfId="5" applyNumberFormat="1" applyFont="1" applyFill="1" applyBorder="1" applyAlignment="1"/>
    <xf numFmtId="166" fontId="27" fillId="0" borderId="9" xfId="5" applyNumberFormat="1" applyFont="1" applyFill="1" applyBorder="1" applyAlignment="1"/>
    <xf numFmtId="43" fontId="1" fillId="0" borderId="0" xfId="3" applyNumberFormat="1" applyFont="1" applyFill="1" applyBorder="1" applyAlignment="1"/>
    <xf numFmtId="43" fontId="1" fillId="0" borderId="6" xfId="3" applyNumberFormat="1" applyFont="1" applyFill="1" applyBorder="1" applyAlignment="1"/>
    <xf numFmtId="43" fontId="23" fillId="0" borderId="0" xfId="3" applyNumberFormat="1" applyFont="1" applyFill="1" applyBorder="1" applyAlignment="1"/>
    <xf numFmtId="43" fontId="23" fillId="0" borderId="6" xfId="3" applyNumberFormat="1" applyFont="1" applyFill="1" applyBorder="1" applyAlignment="1"/>
    <xf numFmtId="43" fontId="1" fillId="0" borderId="8" xfId="3" applyNumberFormat="1" applyFont="1" applyFill="1" applyBorder="1" applyAlignment="1"/>
    <xf numFmtId="43" fontId="1" fillId="0" borderId="9" xfId="3" applyNumberFormat="1" applyFont="1" applyFill="1" applyBorder="1" applyAlignment="1"/>
    <xf numFmtId="43" fontId="23" fillId="0" borderId="8" xfId="3" applyNumberFormat="1" applyFont="1" applyFill="1" applyBorder="1" applyAlignment="1"/>
    <xf numFmtId="43" fontId="23" fillId="0" borderId="9" xfId="3" applyNumberFormat="1" applyFont="1" applyFill="1" applyBorder="1" applyAlignment="1"/>
    <xf numFmtId="10" fontId="32" fillId="0" borderId="0" xfId="1" applyNumberFormat="1" applyFont="1" applyAlignment="1">
      <alignment horizontal="center"/>
    </xf>
    <xf numFmtId="10" fontId="32" fillId="0" borderId="0" xfId="0" applyNumberFormat="1" applyFont="1"/>
    <xf numFmtId="9" fontId="5" fillId="5" borderId="0" xfId="0" applyNumberFormat="1" applyFont="1" applyFill="1"/>
    <xf numFmtId="0" fontId="5" fillId="5" borderId="0" xfId="0" applyFont="1" applyFill="1"/>
    <xf numFmtId="10" fontId="5" fillId="5" borderId="0" xfId="0" applyNumberFormat="1" applyFont="1" applyFill="1"/>
    <xf numFmtId="10" fontId="32" fillId="0" borderId="0" xfId="1" applyNumberFormat="1" applyFont="1" applyBorder="1" applyAlignment="1">
      <alignment horizontal="center"/>
    </xf>
    <xf numFmtId="1" fontId="5" fillId="5" borderId="0" xfId="0" applyNumberFormat="1" applyFont="1" applyFill="1"/>
    <xf numFmtId="0" fontId="30" fillId="0" borderId="0" xfId="7"/>
    <xf numFmtId="0" fontId="33" fillId="0" borderId="0" xfId="7" applyFont="1"/>
    <xf numFmtId="0" fontId="34" fillId="0" borderId="0" xfId="7" applyFont="1"/>
    <xf numFmtId="4" fontId="19" fillId="0" borderId="0" xfId="7" applyNumberFormat="1" applyFont="1" applyAlignment="1">
      <alignment horizontal="center" vertical="top" wrapText="1"/>
    </xf>
    <xf numFmtId="0" fontId="19" fillId="19" borderId="0" xfId="7" applyFont="1" applyFill="1" applyAlignment="1">
      <alignment horizontal="left" vertical="top"/>
    </xf>
    <xf numFmtId="0" fontId="18" fillId="21" borderId="0" xfId="7" applyFont="1" applyFill="1" applyAlignment="1">
      <alignment vertical="top" wrapText="1"/>
    </xf>
    <xf numFmtId="0" fontId="36" fillId="0" borderId="0" xfId="7" applyFont="1" applyAlignment="1">
      <alignment vertical="top" wrapText="1"/>
    </xf>
    <xf numFmtId="0" fontId="19" fillId="0" borderId="0" xfId="7" applyFont="1" applyAlignment="1">
      <alignment vertical="top" wrapText="1"/>
    </xf>
    <xf numFmtId="4" fontId="19" fillId="0" borderId="0" xfId="7" applyNumberFormat="1" applyFont="1" applyAlignment="1">
      <alignment vertical="top" wrapText="1"/>
    </xf>
    <xf numFmtId="0" fontId="19" fillId="0" borderId="0" xfId="7" applyFont="1" applyAlignment="1" applyProtection="1">
      <alignment vertical="top" wrapText="1"/>
      <protection locked="0"/>
    </xf>
    <xf numFmtId="0" fontId="18" fillId="19" borderId="0" xfId="7" applyFont="1" applyFill="1" applyAlignment="1">
      <alignment horizontal="left" vertical="top"/>
    </xf>
    <xf numFmtId="0" fontId="19" fillId="21" borderId="0" xfId="7" applyFont="1" applyFill="1" applyAlignment="1">
      <alignment vertical="top"/>
    </xf>
    <xf numFmtId="3" fontId="30" fillId="0" borderId="0" xfId="7" applyNumberFormat="1"/>
    <xf numFmtId="3" fontId="30" fillId="22" borderId="0" xfId="7" applyNumberFormat="1" applyFill="1"/>
    <xf numFmtId="0" fontId="30" fillId="22" borderId="0" xfId="7" applyFill="1"/>
    <xf numFmtId="9" fontId="30" fillId="22" borderId="0" xfId="1" applyFont="1" applyFill="1"/>
    <xf numFmtId="169" fontId="30" fillId="0" borderId="0" xfId="7" applyNumberFormat="1"/>
    <xf numFmtId="1" fontId="30" fillId="0" borderId="0" xfId="7" applyNumberFormat="1"/>
    <xf numFmtId="9" fontId="30" fillId="0" borderId="0" xfId="1" applyFont="1"/>
    <xf numFmtId="9" fontId="30" fillId="0" borderId="0" xfId="7" applyNumberFormat="1"/>
    <xf numFmtId="0" fontId="30" fillId="11" borderId="0" xfId="7" applyFill="1"/>
    <xf numFmtId="9" fontId="30" fillId="11" borderId="0" xfId="7" applyNumberFormat="1" applyFill="1"/>
    <xf numFmtId="2" fontId="30" fillId="0" borderId="0" xfId="7" applyNumberFormat="1"/>
    <xf numFmtId="0" fontId="7" fillId="0" borderId="0" xfId="7" applyFont="1"/>
    <xf numFmtId="0" fontId="30" fillId="0" borderId="0" xfId="7" applyAlignment="1">
      <alignment horizontal="right"/>
    </xf>
    <xf numFmtId="4" fontId="19" fillId="19" borderId="0" xfId="7" applyNumberFormat="1" applyFont="1" applyFill="1" applyAlignment="1">
      <alignment horizontal="left" vertical="top"/>
    </xf>
    <xf numFmtId="4" fontId="19" fillId="19" borderId="0" xfId="7" applyNumberFormat="1" applyFont="1" applyFill="1" applyAlignment="1" applyProtection="1">
      <alignment horizontal="left" vertical="top"/>
      <protection locked="0"/>
    </xf>
    <xf numFmtId="4" fontId="18" fillId="19" borderId="0" xfId="7" applyNumberFormat="1" applyFont="1" applyFill="1" applyAlignment="1">
      <alignment horizontal="left" vertical="top"/>
    </xf>
    <xf numFmtId="4" fontId="18" fillId="19" borderId="0" xfId="7" applyNumberFormat="1" applyFont="1" applyFill="1" applyAlignment="1" applyProtection="1">
      <alignment horizontal="left" vertical="top"/>
      <protection locked="0"/>
    </xf>
    <xf numFmtId="9" fontId="30" fillId="11" borderId="0" xfId="1" applyFont="1" applyFill="1"/>
    <xf numFmtId="2" fontId="0" fillId="0" borderId="0" xfId="5" applyNumberFormat="1" applyFont="1"/>
    <xf numFmtId="43" fontId="0" fillId="11" borderId="0" xfId="5" applyFont="1" applyFill="1"/>
    <xf numFmtId="1" fontId="5" fillId="0" borderId="0" xfId="0" applyNumberFormat="1" applyFont="1"/>
    <xf numFmtId="1" fontId="5" fillId="11" borderId="0" xfId="0" applyNumberFormat="1" applyFont="1" applyFill="1"/>
    <xf numFmtId="1" fontId="5" fillId="0" borderId="0" xfId="5" applyNumberFormat="1" applyFont="1"/>
    <xf numFmtId="0" fontId="5" fillId="11" borderId="0" xfId="0" applyFont="1" applyFill="1"/>
    <xf numFmtId="2" fontId="5" fillId="0" borderId="0" xfId="5" applyNumberFormat="1" applyFont="1"/>
    <xf numFmtId="0" fontId="15" fillId="0" borderId="0" xfId="8"/>
    <xf numFmtId="9" fontId="2" fillId="2" borderId="1" xfId="9" applyNumberFormat="1"/>
    <xf numFmtId="9" fontId="31" fillId="2" borderId="14" xfId="9" applyNumberFormat="1" applyFont="1" applyBorder="1" applyAlignment="1">
      <alignment horizontal="center"/>
    </xf>
    <xf numFmtId="9" fontId="31" fillId="2" borderId="13" xfId="9" applyNumberFormat="1" applyFont="1" applyBorder="1" applyAlignment="1">
      <alignment horizontal="center"/>
    </xf>
    <xf numFmtId="0" fontId="37" fillId="23" borderId="0" xfId="0" applyFont="1" applyFill="1"/>
    <xf numFmtId="0" fontId="38" fillId="23" borderId="2" xfId="0" applyFont="1" applyFill="1" applyBorder="1" applyAlignment="1">
      <alignment horizontal="center" vertical="center"/>
    </xf>
    <xf numFmtId="0" fontId="38" fillId="23" borderId="3" xfId="0" applyFont="1" applyFill="1" applyBorder="1"/>
    <xf numFmtId="0" fontId="38" fillId="23" borderId="4" xfId="0" applyFont="1" applyFill="1" applyBorder="1"/>
    <xf numFmtId="0" fontId="38" fillId="23" borderId="5" xfId="0" applyFont="1" applyFill="1" applyBorder="1" applyAlignment="1">
      <alignment horizontal="center" vertical="center"/>
    </xf>
    <xf numFmtId="0" fontId="38" fillId="23" borderId="0" xfId="0" applyFont="1" applyFill="1"/>
    <xf numFmtId="1" fontId="37" fillId="23" borderId="0" xfId="0" applyNumberFormat="1" applyFont="1" applyFill="1"/>
    <xf numFmtId="0" fontId="38" fillId="23" borderId="7" xfId="0" applyFont="1" applyFill="1" applyBorder="1"/>
    <xf numFmtId="1" fontId="37" fillId="23" borderId="8" xfId="0" applyNumberFormat="1" applyFont="1" applyFill="1" applyBorder="1"/>
    <xf numFmtId="9" fontId="37" fillId="23" borderId="0" xfId="1" applyFont="1" applyFill="1" applyBorder="1"/>
    <xf numFmtId="0" fontId="38" fillId="23" borderId="0" xfId="0" applyFont="1" applyFill="1" applyAlignment="1">
      <alignment horizontal="right"/>
    </xf>
    <xf numFmtId="0" fontId="5" fillId="0" borderId="0" xfId="0" applyFont="1" applyAlignment="1">
      <alignment horizontal="center"/>
    </xf>
    <xf numFmtId="0" fontId="5" fillId="0" borderId="7" xfId="0" applyFont="1" applyBorder="1"/>
    <xf numFmtId="0" fontId="0" fillId="24" borderId="0" xfId="0" applyFill="1"/>
    <xf numFmtId="0" fontId="43" fillId="0" borderId="0" xfId="0" applyFont="1"/>
    <xf numFmtId="0" fontId="44" fillId="24" borderId="0" xfId="0" applyFont="1" applyFill="1" applyAlignment="1">
      <alignment horizontal="center"/>
    </xf>
    <xf numFmtId="0" fontId="0" fillId="0" borderId="6" xfId="0" applyBorder="1"/>
    <xf numFmtId="0" fontId="0" fillId="0" borderId="9" xfId="0" applyBorder="1"/>
    <xf numFmtId="0" fontId="47" fillId="0" borderId="0" xfId="0" applyFont="1"/>
    <xf numFmtId="0" fontId="47" fillId="0" borderId="8" xfId="0" applyFont="1" applyBorder="1"/>
    <xf numFmtId="0" fontId="48" fillId="0" borderId="5" xfId="0" applyFont="1" applyBorder="1"/>
    <xf numFmtId="0" fontId="48" fillId="0" borderId="7" xfId="0" applyFont="1" applyBorder="1"/>
    <xf numFmtId="0" fontId="0" fillId="0" borderId="32" xfId="0" applyBorder="1"/>
    <xf numFmtId="0" fontId="5" fillId="0" borderId="32" xfId="0" applyFont="1" applyBorder="1" applyAlignment="1">
      <alignment horizontal="center"/>
    </xf>
    <xf numFmtId="0" fontId="5" fillId="0" borderId="32" xfId="0" applyFont="1" applyBorder="1" applyAlignment="1">
      <alignment horizontal="left" vertical="center" wrapText="1"/>
    </xf>
    <xf numFmtId="0" fontId="5" fillId="0" borderId="32" xfId="0" applyFont="1" applyBorder="1" applyAlignment="1">
      <alignment horizontal="center" vertical="center"/>
    </xf>
    <xf numFmtId="0" fontId="5" fillId="0" borderId="32" xfId="0" applyFont="1" applyBorder="1"/>
    <xf numFmtId="166" fontId="21" fillId="0" borderId="0" xfId="5" applyNumberFormat="1" applyFont="1" applyBorder="1" applyAlignment="1">
      <alignment vertical="center"/>
    </xf>
    <xf numFmtId="0" fontId="46" fillId="0" borderId="0" xfId="0" applyFont="1"/>
    <xf numFmtId="3" fontId="21" fillId="0" borderId="32" xfId="5" applyNumberFormat="1" applyFont="1" applyBorder="1" applyAlignment="1">
      <alignment horizontal="center" vertical="center"/>
    </xf>
    <xf numFmtId="3" fontId="21" fillId="0" borderId="32" xfId="5" applyNumberFormat="1" applyFont="1" applyBorder="1" applyAlignment="1">
      <alignment vertical="center"/>
    </xf>
    <xf numFmtId="0" fontId="5" fillId="0" borderId="0" xfId="0" applyFont="1" applyAlignment="1">
      <alignment vertical="center"/>
    </xf>
    <xf numFmtId="3" fontId="45" fillId="7" borderId="32" xfId="0" applyNumberFormat="1" applyFont="1" applyFill="1" applyBorder="1" applyAlignment="1">
      <alignment horizontal="center" vertical="center"/>
    </xf>
    <xf numFmtId="0" fontId="6" fillId="0" borderId="32" xfId="0" applyFont="1" applyBorder="1"/>
    <xf numFmtId="3" fontId="4" fillId="0" borderId="32" xfId="0" applyNumberFormat="1" applyFont="1" applyBorder="1" applyAlignment="1">
      <alignment horizontal="center"/>
    </xf>
    <xf numFmtId="164" fontId="21" fillId="0" borderId="32" xfId="1" applyNumberFormat="1" applyFont="1" applyBorder="1" applyAlignment="1">
      <alignment horizontal="center" vertical="center"/>
    </xf>
    <xf numFmtId="3" fontId="21" fillId="0" borderId="32" xfId="1" applyNumberFormat="1" applyFont="1" applyBorder="1" applyAlignment="1">
      <alignment horizontal="center" vertical="center"/>
    </xf>
    <xf numFmtId="9" fontId="21" fillId="0" borderId="32" xfId="1" applyFont="1" applyBorder="1" applyAlignment="1">
      <alignment horizontal="center" vertical="center"/>
    </xf>
    <xf numFmtId="0" fontId="47" fillId="0" borderId="32" xfId="0" applyFont="1" applyBorder="1"/>
    <xf numFmtId="10" fontId="45" fillId="7" borderId="32" xfId="1" applyNumberFormat="1" applyFont="1" applyFill="1" applyBorder="1" applyAlignment="1">
      <alignment horizontal="center" vertical="center"/>
    </xf>
    <xf numFmtId="0" fontId="51" fillId="0" borderId="32" xfId="0" applyFont="1" applyBorder="1"/>
    <xf numFmtId="0" fontId="4" fillId="0" borderId="32" xfId="0" applyFont="1" applyBorder="1"/>
    <xf numFmtId="10" fontId="51" fillId="7" borderId="32" xfId="1" applyNumberFormat="1" applyFont="1" applyFill="1" applyBorder="1" applyAlignment="1">
      <alignment horizontal="center" vertical="center"/>
    </xf>
    <xf numFmtId="10" fontId="52" fillId="7" borderId="32" xfId="1" applyNumberFormat="1" applyFont="1" applyFill="1" applyBorder="1" applyAlignment="1">
      <alignment horizontal="center" vertical="center"/>
    </xf>
    <xf numFmtId="1" fontId="4" fillId="0" borderId="0" xfId="0" applyNumberFormat="1" applyFont="1"/>
    <xf numFmtId="0" fontId="0" fillId="0" borderId="32" xfId="0" applyBorder="1" applyAlignment="1">
      <alignment horizontal="center"/>
    </xf>
    <xf numFmtId="0" fontId="4" fillId="0" borderId="32" xfId="0" applyFont="1" applyBorder="1" applyAlignment="1">
      <alignment horizontal="center"/>
    </xf>
    <xf numFmtId="10" fontId="0" fillId="0" borderId="32" xfId="1" applyNumberFormat="1" applyFont="1" applyBorder="1" applyAlignment="1">
      <alignment horizontal="center"/>
    </xf>
    <xf numFmtId="0" fontId="5" fillId="0" borderId="2" xfId="0" applyFont="1" applyBorder="1"/>
    <xf numFmtId="0" fontId="0" fillId="0" borderId="3" xfId="0" applyBorder="1"/>
    <xf numFmtId="0" fontId="0" fillId="0" borderId="4" xfId="0" applyBorder="1"/>
    <xf numFmtId="0" fontId="5" fillId="0" borderId="5" xfId="0" applyFont="1" applyBorder="1" applyAlignment="1">
      <alignment wrapText="1"/>
    </xf>
    <xf numFmtId="0" fontId="0" fillId="0" borderId="8" xfId="0" applyBorder="1"/>
    <xf numFmtId="1" fontId="0" fillId="0" borderId="8" xfId="0" applyNumberFormat="1" applyBorder="1"/>
    <xf numFmtId="1" fontId="0" fillId="0" borderId="9" xfId="0" applyNumberFormat="1" applyBorder="1"/>
    <xf numFmtId="0" fontId="0" fillId="0" borderId="0" xfId="0" applyAlignment="1">
      <alignment horizontal="right" vertical="center"/>
    </xf>
    <xf numFmtId="0" fontId="0" fillId="0" borderId="6" xfId="0" applyBorder="1" applyAlignment="1">
      <alignment horizontal="right" vertical="center"/>
    </xf>
    <xf numFmtId="3" fontId="0" fillId="0" borderId="3" xfId="0" applyNumberFormat="1" applyBorder="1"/>
    <xf numFmtId="0" fontId="5" fillId="25" borderId="0" xfId="0" applyFont="1" applyFill="1"/>
    <xf numFmtId="0" fontId="0" fillId="25" borderId="0" xfId="0" applyFill="1"/>
    <xf numFmtId="0" fontId="39" fillId="25" borderId="0" xfId="0" applyFont="1" applyFill="1"/>
    <xf numFmtId="3" fontId="0" fillId="25" borderId="0" xfId="0" applyNumberFormat="1" applyFill="1"/>
    <xf numFmtId="0" fontId="6" fillId="25" borderId="0" xfId="0" applyFont="1" applyFill="1"/>
    <xf numFmtId="0" fontId="5" fillId="25" borderId="5" xfId="0" applyFont="1" applyFill="1" applyBorder="1"/>
    <xf numFmtId="0" fontId="0" fillId="25" borderId="32" xfId="0" applyFill="1" applyBorder="1"/>
    <xf numFmtId="3" fontId="0" fillId="25" borderId="32" xfId="0" applyNumberFormat="1" applyFill="1" applyBorder="1"/>
    <xf numFmtId="0" fontId="5" fillId="25" borderId="32" xfId="0" applyFont="1" applyFill="1" applyBorder="1"/>
    <xf numFmtId="3" fontId="45" fillId="25" borderId="32" xfId="0" applyNumberFormat="1" applyFont="1" applyFill="1" applyBorder="1" applyAlignment="1">
      <alignment horizontal="center" vertical="center"/>
    </xf>
    <xf numFmtId="1" fontId="0" fillId="25" borderId="32" xfId="0" applyNumberFormat="1" applyFill="1" applyBorder="1"/>
    <xf numFmtId="0" fontId="0" fillId="25" borderId="33" xfId="0" applyFill="1" applyBorder="1"/>
    <xf numFmtId="3" fontId="45" fillId="25" borderId="0" xfId="0" applyNumberFormat="1" applyFont="1" applyFill="1" applyAlignment="1">
      <alignment horizontal="center" vertical="center"/>
    </xf>
    <xf numFmtId="0" fontId="5" fillId="25" borderId="32" xfId="0" applyFont="1" applyFill="1" applyBorder="1" applyAlignment="1">
      <alignment wrapText="1"/>
    </xf>
    <xf numFmtId="9" fontId="0" fillId="0" borderId="32" xfId="1" applyFont="1" applyBorder="1"/>
    <xf numFmtId="0" fontId="6" fillId="0" borderId="8" xfId="0" applyFont="1" applyBorder="1"/>
    <xf numFmtId="0" fontId="15" fillId="0" borderId="0" xfId="4" applyBorder="1"/>
    <xf numFmtId="166" fontId="0" fillId="0" borderId="32" xfId="5" applyNumberFormat="1" applyFont="1" applyBorder="1"/>
    <xf numFmtId="0" fontId="5" fillId="0" borderId="32" xfId="0" applyFont="1" applyBorder="1" applyAlignment="1">
      <alignment wrapText="1"/>
    </xf>
    <xf numFmtId="3" fontId="0" fillId="0" borderId="32" xfId="0" applyNumberFormat="1" applyBorder="1"/>
    <xf numFmtId="3" fontId="54" fillId="0" borderId="32" xfId="1" applyNumberFormat="1" applyFont="1" applyFill="1" applyBorder="1" applyAlignment="1">
      <alignment horizontal="center"/>
    </xf>
    <xf numFmtId="0" fontId="0" fillId="0" borderId="0" xfId="0" applyAlignment="1">
      <alignment vertical="center"/>
    </xf>
    <xf numFmtId="0" fontId="8" fillId="0" borderId="0" xfId="0" applyFont="1" applyAlignment="1">
      <alignment vertical="center"/>
    </xf>
    <xf numFmtId="9" fontId="20" fillId="0" borderId="0" xfId="0" applyNumberFormat="1"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0" fontId="5" fillId="18" borderId="25" xfId="0" applyFont="1" applyFill="1" applyBorder="1" applyAlignment="1">
      <alignment vertical="center" wrapText="1"/>
    </xf>
    <xf numFmtId="9" fontId="22" fillId="18" borderId="26" xfId="1" applyFont="1" applyFill="1" applyBorder="1" applyAlignment="1">
      <alignment horizontal="center" vertical="center"/>
    </xf>
    <xf numFmtId="10" fontId="0" fillId="0" borderId="0" xfId="1" applyNumberFormat="1" applyFont="1" applyFill="1" applyBorder="1" applyAlignment="1">
      <alignment horizontal="center" vertical="center"/>
    </xf>
    <xf numFmtId="9" fontId="25" fillId="0" borderId="26" xfId="1" applyFont="1" applyFill="1" applyBorder="1" applyAlignment="1">
      <alignment horizontal="center" vertical="center"/>
    </xf>
    <xf numFmtId="43" fontId="0" fillId="0" borderId="0" xfId="5" applyFont="1" applyFill="1" applyBorder="1" applyAlignment="1">
      <alignment horizontal="center" vertical="center"/>
    </xf>
    <xf numFmtId="43" fontId="27" fillId="0" borderId="25" xfId="5" applyFont="1" applyFill="1" applyBorder="1" applyAlignment="1">
      <alignment horizontal="right" vertical="center" wrapText="1"/>
    </xf>
    <xf numFmtId="43" fontId="26" fillId="0" borderId="25" xfId="5" applyFont="1" applyFill="1" applyBorder="1" applyAlignment="1">
      <alignment horizontal="right" vertical="center" wrapText="1"/>
    </xf>
    <xf numFmtId="166" fontId="27" fillId="0" borderId="25" xfId="5" applyNumberFormat="1" applyFont="1" applyFill="1" applyBorder="1" applyAlignment="1">
      <alignment horizontal="right" vertical="center" wrapText="1"/>
    </xf>
    <xf numFmtId="43" fontId="23" fillId="18" borderId="25" xfId="5" applyFont="1" applyFill="1" applyBorder="1" applyAlignment="1">
      <alignment vertical="center" wrapText="1"/>
    </xf>
    <xf numFmtId="43" fontId="22" fillId="18" borderId="25" xfId="5" applyFont="1" applyFill="1" applyBorder="1" applyAlignment="1">
      <alignment vertical="center" wrapText="1"/>
    </xf>
    <xf numFmtId="166" fontId="23" fillId="18" borderId="25" xfId="5" applyNumberFormat="1" applyFont="1" applyFill="1" applyBorder="1" applyAlignment="1">
      <alignment vertical="center" wrapText="1"/>
    </xf>
    <xf numFmtId="9" fontId="5" fillId="18" borderId="26" xfId="1" applyFont="1" applyFill="1" applyBorder="1" applyAlignment="1">
      <alignment horizontal="center" vertical="center"/>
    </xf>
    <xf numFmtId="9" fontId="0" fillId="0" borderId="26" xfId="1" applyFont="1" applyFill="1" applyBorder="1" applyAlignment="1">
      <alignment horizontal="center" vertical="center"/>
    </xf>
    <xf numFmtId="164" fontId="22" fillId="18" borderId="26" xfId="1" applyNumberFormat="1" applyFont="1" applyFill="1" applyBorder="1" applyAlignment="1">
      <alignment horizontal="center" vertical="center"/>
    </xf>
    <xf numFmtId="164" fontId="25" fillId="0" borderId="26" xfId="1" applyNumberFormat="1" applyFont="1" applyFill="1" applyBorder="1" applyAlignment="1">
      <alignment horizontal="center" vertical="center"/>
    </xf>
    <xf numFmtId="43" fontId="21" fillId="0" borderId="25" xfId="5" applyFont="1" applyFill="1" applyBorder="1" applyAlignment="1">
      <alignment vertical="center" wrapText="1"/>
    </xf>
    <xf numFmtId="43" fontId="25" fillId="0" borderId="25" xfId="5" applyFont="1" applyFill="1" applyBorder="1" applyAlignment="1">
      <alignment vertical="center" wrapText="1"/>
    </xf>
    <xf numFmtId="166" fontId="21" fillId="0" borderId="25" xfId="5" applyNumberFormat="1" applyFont="1" applyFill="1" applyBorder="1" applyAlignment="1">
      <alignment vertical="center" wrapText="1"/>
    </xf>
    <xf numFmtId="9" fontId="0" fillId="18" borderId="26" xfId="1" applyFont="1" applyFill="1" applyBorder="1" applyAlignment="1">
      <alignment horizontal="center" vertical="center"/>
    </xf>
    <xf numFmtId="9" fontId="25" fillId="18" borderId="26" xfId="1" applyFont="1" applyFill="1" applyBorder="1" applyAlignment="1">
      <alignment horizontal="center" vertical="center"/>
    </xf>
    <xf numFmtId="10" fontId="0" fillId="0" borderId="0" xfId="1" applyNumberFormat="1" applyFont="1" applyBorder="1" applyAlignment="1">
      <alignment horizontal="center" vertical="center"/>
    </xf>
    <xf numFmtId="9" fontId="25" fillId="0" borderId="0" xfId="1" applyFont="1" applyFill="1" applyBorder="1" applyAlignment="1">
      <alignment horizontal="center" vertical="center"/>
    </xf>
    <xf numFmtId="164" fontId="0" fillId="0" borderId="0" xfId="1" applyNumberFormat="1" applyFont="1" applyFill="1" applyBorder="1" applyAlignment="1">
      <alignment horizontal="center" vertical="center"/>
    </xf>
    <xf numFmtId="3" fontId="21" fillId="0" borderId="0" xfId="1" applyNumberFormat="1" applyFont="1" applyFill="1" applyBorder="1" applyAlignment="1">
      <alignment horizontal="center" vertical="center"/>
    </xf>
    <xf numFmtId="9" fontId="21" fillId="0" borderId="0" xfId="1" applyFont="1" applyFill="1" applyBorder="1" applyAlignment="1">
      <alignment horizontal="center" vertical="center"/>
    </xf>
    <xf numFmtId="0" fontId="10" fillId="0" borderId="0" xfId="0" applyFont="1" applyAlignment="1">
      <alignment horizontal="right" vertical="center" wrapText="1"/>
    </xf>
    <xf numFmtId="0" fontId="0" fillId="0" borderId="0" xfId="0" applyAlignment="1">
      <alignment horizontal="center" vertical="center"/>
    </xf>
    <xf numFmtId="9" fontId="0" fillId="0" borderId="0" xfId="1" applyFont="1" applyFill="1" applyAlignment="1">
      <alignment vertical="center"/>
    </xf>
    <xf numFmtId="0" fontId="29" fillId="0" borderId="0" xfId="0" applyFont="1" applyAlignment="1">
      <alignment vertical="center"/>
    </xf>
    <xf numFmtId="166" fontId="29" fillId="0" borderId="0" xfId="0" applyNumberFormat="1" applyFont="1" applyAlignment="1">
      <alignment horizontal="center" vertical="center"/>
    </xf>
    <xf numFmtId="0" fontId="14" fillId="0" borderId="0" xfId="0" applyFont="1" applyAlignment="1">
      <alignment vertical="center"/>
    </xf>
    <xf numFmtId="0" fontId="55" fillId="25" borderId="0" xfId="0" applyFont="1" applyFill="1"/>
    <xf numFmtId="1" fontId="0" fillId="0" borderId="0" xfId="0" applyNumberFormat="1" applyAlignment="1">
      <alignment vertical="center"/>
    </xf>
    <xf numFmtId="166" fontId="21" fillId="0" borderId="0" xfId="0" applyNumberFormat="1" applyFont="1" applyAlignment="1">
      <alignment horizontal="center" vertical="center"/>
    </xf>
    <xf numFmtId="0" fontId="8" fillId="0" borderId="0" xfId="0" applyFont="1" applyAlignment="1">
      <alignment vertical="center" wrapText="1"/>
    </xf>
    <xf numFmtId="3" fontId="0" fillId="5" borderId="12" xfId="0" applyNumberFormat="1" applyFill="1" applyBorder="1" applyAlignment="1">
      <alignment horizontal="center" vertical="center"/>
    </xf>
    <xf numFmtId="3" fontId="21" fillId="5" borderId="9" xfId="0" applyNumberFormat="1" applyFont="1" applyFill="1" applyBorder="1" applyAlignment="1">
      <alignment horizontal="center" vertical="center"/>
    </xf>
    <xf numFmtId="9" fontId="20" fillId="5" borderId="14" xfId="0" applyNumberFormat="1" applyFont="1" applyFill="1" applyBorder="1" applyAlignment="1">
      <alignment horizontal="center" vertical="center"/>
    </xf>
    <xf numFmtId="0" fontId="8" fillId="5" borderId="27" xfId="0" applyFont="1" applyFill="1" applyBorder="1" applyAlignment="1">
      <alignment horizontal="center" vertical="center" wrapText="1"/>
    </xf>
    <xf numFmtId="0" fontId="59" fillId="0" borderId="0" xfId="0" applyFont="1" applyAlignment="1">
      <alignment vertical="center"/>
    </xf>
    <xf numFmtId="0" fontId="8" fillId="0" borderId="0" xfId="0" applyFont="1" applyAlignment="1">
      <alignment horizontal="center" vertical="center" wrapText="1"/>
    </xf>
    <xf numFmtId="9" fontId="20" fillId="5" borderId="27" xfId="0" applyNumberFormat="1" applyFont="1" applyFill="1" applyBorder="1" applyAlignment="1">
      <alignment horizontal="center"/>
    </xf>
    <xf numFmtId="0" fontId="0" fillId="0" borderId="32" xfId="0" applyBorder="1" applyAlignment="1">
      <alignment horizontal="left"/>
    </xf>
    <xf numFmtId="0" fontId="38" fillId="0" borderId="0" xfId="0" applyFont="1"/>
    <xf numFmtId="1" fontId="37" fillId="0" borderId="0" xfId="0" applyNumberFormat="1" applyFont="1"/>
    <xf numFmtId="0" fontId="5" fillId="18" borderId="26" xfId="0" applyFont="1" applyFill="1" applyBorder="1" applyAlignment="1">
      <alignment vertical="center" wrapText="1"/>
    </xf>
    <xf numFmtId="0" fontId="10" fillId="0" borderId="26" xfId="0" applyFont="1" applyBorder="1" applyAlignment="1">
      <alignment horizontal="right" vertical="center" wrapText="1"/>
    </xf>
    <xf numFmtId="0" fontId="0" fillId="0" borderId="26" xfId="0" applyBorder="1" applyAlignment="1">
      <alignment vertical="center" wrapText="1"/>
    </xf>
    <xf numFmtId="0" fontId="17" fillId="13" borderId="0" xfId="0" applyFont="1" applyFill="1" applyAlignment="1">
      <alignment horizontal="center" vertical="center" wrapText="1"/>
    </xf>
    <xf numFmtId="0" fontId="17" fillId="13" borderId="23" xfId="0" applyFont="1" applyFill="1" applyBorder="1" applyAlignment="1">
      <alignment horizontal="center" vertical="center" wrapText="1"/>
    </xf>
    <xf numFmtId="9" fontId="26" fillId="0" borderId="0" xfId="1" applyFont="1" applyFill="1" applyBorder="1" applyAlignment="1">
      <alignment horizontal="center" vertical="center"/>
    </xf>
    <xf numFmtId="0" fontId="5" fillId="18" borderId="0" xfId="0" applyFont="1" applyFill="1" applyAlignment="1">
      <alignment vertical="center" wrapText="1"/>
    </xf>
    <xf numFmtId="9" fontId="25" fillId="18" borderId="0" xfId="1" applyFont="1" applyFill="1" applyBorder="1" applyAlignment="1">
      <alignment horizontal="center" vertical="center"/>
    </xf>
    <xf numFmtId="166" fontId="21" fillId="18" borderId="0" xfId="0" applyNumberFormat="1" applyFont="1" applyFill="1" applyAlignment="1">
      <alignment horizontal="center" vertical="center"/>
    </xf>
    <xf numFmtId="164" fontId="0" fillId="18" borderId="0" xfId="1" applyNumberFormat="1" applyFont="1" applyFill="1" applyBorder="1" applyAlignment="1">
      <alignment horizontal="center" vertical="center"/>
    </xf>
    <xf numFmtId="9" fontId="26" fillId="18" borderId="0" xfId="1" applyFont="1" applyFill="1" applyBorder="1" applyAlignment="1">
      <alignment horizontal="center" vertical="center"/>
    </xf>
    <xf numFmtId="3" fontId="21" fillId="18" borderId="0" xfId="1" applyNumberFormat="1" applyFont="1" applyFill="1" applyBorder="1" applyAlignment="1">
      <alignment horizontal="center" vertical="center"/>
    </xf>
    <xf numFmtId="9" fontId="21" fillId="18" borderId="0" xfId="1" applyFont="1" applyFill="1" applyBorder="1" applyAlignment="1">
      <alignment horizontal="center" vertical="center"/>
    </xf>
    <xf numFmtId="9" fontId="0" fillId="0" borderId="0" xfId="1" applyFont="1" applyFill="1" applyBorder="1" applyAlignment="1">
      <alignment horizontal="center" vertical="center"/>
    </xf>
    <xf numFmtId="9" fontId="15" fillId="0" borderId="0" xfId="1" applyFont="1" applyFill="1" applyBorder="1" applyAlignment="1">
      <alignment horizontal="center" vertical="center"/>
    </xf>
    <xf numFmtId="9" fontId="22" fillId="18" borderId="0" xfId="1" applyFont="1" applyFill="1" applyBorder="1" applyAlignment="1">
      <alignment horizontal="center" vertical="center"/>
    </xf>
    <xf numFmtId="0" fontId="5" fillId="18" borderId="0" xfId="0" applyFont="1" applyFill="1" applyAlignment="1">
      <alignment vertical="center"/>
    </xf>
    <xf numFmtId="9" fontId="23" fillId="18" borderId="0" xfId="1" applyFont="1" applyFill="1" applyBorder="1" applyAlignment="1">
      <alignment horizontal="center" vertical="center"/>
    </xf>
    <xf numFmtId="9" fontId="24" fillId="26" borderId="0" xfId="1" applyFont="1" applyFill="1" applyBorder="1" applyAlignment="1">
      <alignment horizontal="center" vertical="center"/>
    </xf>
    <xf numFmtId="3" fontId="23" fillId="18" borderId="0" xfId="1" applyNumberFormat="1" applyFont="1" applyFill="1" applyBorder="1" applyAlignment="1">
      <alignment horizontal="center" vertical="center"/>
    </xf>
    <xf numFmtId="9" fontId="2" fillId="26" borderId="0" xfId="2" applyNumberFormat="1" applyFill="1" applyBorder="1" applyAlignment="1">
      <alignment horizontal="center" vertical="center"/>
    </xf>
    <xf numFmtId="166" fontId="23" fillId="18" borderId="0" xfId="0" applyNumberFormat="1" applyFont="1" applyFill="1" applyAlignment="1">
      <alignment horizontal="center" vertical="center"/>
    </xf>
    <xf numFmtId="164" fontId="23" fillId="18" borderId="0" xfId="1" applyNumberFormat="1" applyFont="1" applyFill="1" applyBorder="1" applyAlignment="1">
      <alignment horizontal="center" vertical="center"/>
    </xf>
    <xf numFmtId="10" fontId="21" fillId="0" borderId="0" xfId="1" applyNumberFormat="1" applyFont="1" applyFill="1" applyBorder="1" applyAlignment="1">
      <alignment horizontal="center" vertical="center"/>
    </xf>
    <xf numFmtId="9" fontId="23" fillId="18" borderId="0" xfId="0" applyNumberFormat="1" applyFont="1" applyFill="1" applyAlignment="1">
      <alignment horizontal="center" vertical="center"/>
    </xf>
    <xf numFmtId="9" fontId="5" fillId="18" borderId="0" xfId="1" applyFont="1" applyFill="1" applyBorder="1" applyAlignment="1">
      <alignment horizontal="center" vertical="center"/>
    </xf>
    <xf numFmtId="9" fontId="0" fillId="18" borderId="0" xfId="1" applyFont="1" applyFill="1" applyBorder="1" applyAlignment="1">
      <alignment horizontal="center" vertical="center"/>
    </xf>
    <xf numFmtId="0" fontId="17" fillId="13" borderId="35" xfId="0" applyFont="1" applyFill="1" applyBorder="1" applyAlignment="1">
      <alignment horizontal="center" vertical="center" wrapText="1"/>
    </xf>
    <xf numFmtId="3" fontId="21" fillId="5" borderId="12" xfId="0" applyNumberFormat="1" applyFont="1" applyFill="1" applyBorder="1" applyAlignment="1">
      <alignment horizontal="center" vertical="center"/>
    </xf>
    <xf numFmtId="9" fontId="0" fillId="0" borderId="0" xfId="1" applyFont="1" applyFill="1" applyBorder="1"/>
    <xf numFmtId="0" fontId="5" fillId="18" borderId="0" xfId="0" applyFont="1" applyFill="1"/>
    <xf numFmtId="9" fontId="23" fillId="18" borderId="0" xfId="1" applyFont="1" applyFill="1" applyBorder="1" applyAlignment="1">
      <alignment horizontal="center"/>
    </xf>
    <xf numFmtId="9" fontId="24" fillId="26" borderId="0" xfId="1" applyFont="1" applyFill="1" applyBorder="1" applyAlignment="1">
      <alignment horizontal="center"/>
    </xf>
    <xf numFmtId="3" fontId="23" fillId="18" borderId="0" xfId="1" applyNumberFormat="1" applyFont="1" applyFill="1" applyBorder="1" applyAlignment="1">
      <alignment horizontal="center"/>
    </xf>
    <xf numFmtId="9" fontId="21" fillId="0" borderId="0" xfId="1" applyFont="1" applyBorder="1" applyAlignment="1">
      <alignment horizontal="center"/>
    </xf>
    <xf numFmtId="9" fontId="26" fillId="0" borderId="0" xfId="1" applyFont="1" applyFill="1" applyBorder="1" applyAlignment="1">
      <alignment horizontal="center"/>
    </xf>
    <xf numFmtId="3" fontId="21" fillId="0" borderId="0" xfId="1" applyNumberFormat="1" applyFont="1" applyFill="1" applyBorder="1" applyAlignment="1">
      <alignment horizontal="center"/>
    </xf>
    <xf numFmtId="9" fontId="21" fillId="0" borderId="0" xfId="1" applyFont="1" applyFill="1" applyBorder="1" applyAlignment="1">
      <alignment horizontal="center"/>
    </xf>
    <xf numFmtId="9" fontId="23" fillId="18" borderId="0" xfId="0" applyNumberFormat="1" applyFont="1" applyFill="1" applyAlignment="1">
      <alignment horizontal="center"/>
    </xf>
    <xf numFmtId="9" fontId="2" fillId="26" borderId="1" xfId="2" applyNumberFormat="1" applyFill="1" applyAlignment="1">
      <alignment horizontal="center"/>
    </xf>
    <xf numFmtId="9" fontId="32" fillId="0" borderId="0" xfId="0" applyNumberFormat="1" applyFont="1" applyAlignment="1">
      <alignment horizontal="center"/>
    </xf>
    <xf numFmtId="10" fontId="32" fillId="0" borderId="0" xfId="0" applyNumberFormat="1" applyFont="1" applyAlignment="1">
      <alignment horizontal="center"/>
    </xf>
    <xf numFmtId="9" fontId="2" fillId="26" borderId="20" xfId="2" applyNumberFormat="1" applyFill="1" applyBorder="1" applyAlignment="1">
      <alignment horizontal="center"/>
    </xf>
    <xf numFmtId="43" fontId="28" fillId="27" borderId="25" xfId="5" applyFont="1" applyFill="1" applyBorder="1" applyAlignment="1">
      <alignment horizontal="right" vertical="center" wrapText="1"/>
    </xf>
    <xf numFmtId="43" fontId="27" fillId="27" borderId="25" xfId="5" applyFont="1" applyFill="1" applyBorder="1" applyAlignment="1">
      <alignment horizontal="right" vertical="center" wrapText="1"/>
    </xf>
    <xf numFmtId="43" fontId="0" fillId="0" borderId="0" xfId="0" applyNumberFormat="1" applyAlignment="1">
      <alignment vertical="center"/>
    </xf>
    <xf numFmtId="168" fontId="0" fillId="0" borderId="0" xfId="0" applyNumberFormat="1" applyAlignment="1">
      <alignment vertical="center"/>
    </xf>
    <xf numFmtId="0" fontId="17" fillId="13" borderId="2" xfId="0" applyFont="1" applyFill="1" applyBorder="1" applyAlignment="1">
      <alignment horizontal="center" vertical="center" wrapText="1"/>
    </xf>
    <xf numFmtId="0" fontId="17" fillId="13" borderId="3" xfId="0" applyFont="1" applyFill="1" applyBorder="1" applyAlignment="1">
      <alignment horizontal="center" vertical="center" wrapText="1"/>
    </xf>
    <xf numFmtId="0" fontId="5" fillId="18" borderId="5" xfId="0" applyFont="1" applyFill="1" applyBorder="1" applyAlignment="1">
      <alignment wrapText="1"/>
    </xf>
    <xf numFmtId="9" fontId="23" fillId="18" borderId="6" xfId="1" applyFont="1" applyFill="1" applyBorder="1" applyAlignment="1">
      <alignment horizontal="center"/>
    </xf>
    <xf numFmtId="0" fontId="10" fillId="0" borderId="5" xfId="0" applyFont="1" applyBorder="1" applyAlignment="1">
      <alignment horizontal="right" wrapText="1"/>
    </xf>
    <xf numFmtId="9" fontId="21" fillId="0" borderId="6" xfId="1" applyFont="1" applyFill="1" applyBorder="1" applyAlignment="1">
      <alignment horizontal="center"/>
    </xf>
    <xf numFmtId="0" fontId="10" fillId="0" borderId="7" xfId="0" applyFont="1" applyBorder="1" applyAlignment="1">
      <alignment horizontal="right" wrapText="1"/>
    </xf>
    <xf numFmtId="9" fontId="21" fillId="0" borderId="8" xfId="1" applyFont="1" applyBorder="1" applyAlignment="1">
      <alignment horizontal="center"/>
    </xf>
    <xf numFmtId="9" fontId="26" fillId="0" borderId="8" xfId="1" applyFont="1" applyFill="1" applyBorder="1" applyAlignment="1">
      <alignment horizontal="center"/>
    </xf>
    <xf numFmtId="3" fontId="21" fillId="0" borderId="8" xfId="1" applyNumberFormat="1" applyFont="1" applyFill="1" applyBorder="1" applyAlignment="1">
      <alignment horizontal="center"/>
    </xf>
    <xf numFmtId="9" fontId="21" fillId="0" borderId="9" xfId="1" applyFont="1" applyFill="1" applyBorder="1" applyAlignment="1">
      <alignment horizontal="center"/>
    </xf>
    <xf numFmtId="10" fontId="0" fillId="0" borderId="0" xfId="0" applyNumberFormat="1" applyAlignment="1">
      <alignment vertical="top" wrapText="1"/>
    </xf>
    <xf numFmtId="9" fontId="21" fillId="0" borderId="8" xfId="1" applyFont="1" applyFill="1" applyBorder="1" applyAlignment="1">
      <alignment horizontal="center"/>
    </xf>
    <xf numFmtId="9" fontId="2" fillId="26" borderId="0" xfId="9" applyNumberFormat="1" applyFill="1" applyBorder="1" applyAlignment="1">
      <alignment horizontal="center"/>
    </xf>
    <xf numFmtId="9" fontId="2" fillId="26" borderId="8" xfId="9" applyNumberFormat="1" applyFill="1" applyBorder="1" applyAlignment="1">
      <alignment horizontal="center"/>
    </xf>
    <xf numFmtId="9" fontId="20" fillId="5" borderId="14" xfId="1" applyFont="1" applyFill="1" applyBorder="1" applyAlignment="1">
      <alignment horizontal="center"/>
    </xf>
    <xf numFmtId="0" fontId="64" fillId="0" borderId="0" xfId="0" applyFont="1" applyAlignment="1">
      <alignment horizontal="center" vertical="center" wrapText="1"/>
    </xf>
    <xf numFmtId="0" fontId="65" fillId="0" borderId="0" xfId="0" applyFont="1" applyAlignment="1">
      <alignment horizontal="center"/>
    </xf>
    <xf numFmtId="0" fontId="66" fillId="0" borderId="0" xfId="0" applyFont="1" applyAlignment="1">
      <alignment horizontal="center" vertical="center" wrapText="1"/>
    </xf>
    <xf numFmtId="0" fontId="53" fillId="0" borderId="0" xfId="10"/>
    <xf numFmtId="3" fontId="0" fillId="24" borderId="0" xfId="5" applyNumberFormat="1" applyFont="1" applyFill="1" applyAlignment="1">
      <alignment horizontal="left"/>
    </xf>
    <xf numFmtId="0" fontId="0" fillId="14" borderId="0" xfId="0" applyFill="1"/>
    <xf numFmtId="0" fontId="7" fillId="24" borderId="0" xfId="0" applyFont="1" applyFill="1"/>
    <xf numFmtId="0" fontId="57" fillId="26" borderId="5" xfId="1" applyNumberFormat="1" applyFont="1" applyFill="1" applyBorder="1" applyAlignment="1">
      <alignment horizontal="center" vertical="center"/>
    </xf>
    <xf numFmtId="0" fontId="57" fillId="26" borderId="0" xfId="1" applyNumberFormat="1" applyFont="1" applyFill="1" applyBorder="1" applyAlignment="1">
      <alignment horizontal="center" vertical="center"/>
    </xf>
    <xf numFmtId="0" fontId="57" fillId="26" borderId="6" xfId="1" applyNumberFormat="1" applyFont="1" applyFill="1" applyBorder="1" applyAlignment="1">
      <alignment horizontal="center" vertical="center"/>
    </xf>
    <xf numFmtId="0" fontId="57" fillId="26" borderId="7" xfId="1" applyNumberFormat="1" applyFont="1" applyFill="1" applyBorder="1" applyAlignment="1">
      <alignment horizontal="center" vertical="center"/>
    </xf>
    <xf numFmtId="0" fontId="57" fillId="26" borderId="8" xfId="1" applyNumberFormat="1" applyFont="1" applyFill="1" applyBorder="1" applyAlignment="1">
      <alignment horizontal="center" vertical="center"/>
    </xf>
    <xf numFmtId="0" fontId="57" fillId="26" borderId="9" xfId="1" applyNumberFormat="1" applyFont="1" applyFill="1" applyBorder="1" applyAlignment="1">
      <alignment horizontal="center" vertical="center"/>
    </xf>
    <xf numFmtId="0" fontId="0" fillId="0" borderId="21" xfId="0" applyBorder="1" applyAlignment="1">
      <alignment horizontal="center"/>
    </xf>
    <xf numFmtId="0" fontId="0" fillId="0" borderId="22" xfId="0" applyBorder="1" applyAlignment="1">
      <alignment horizontal="center"/>
    </xf>
    <xf numFmtId="0" fontId="46" fillId="0" borderId="19" xfId="0" applyFont="1" applyBorder="1" applyAlignment="1">
      <alignment horizontal="center"/>
    </xf>
    <xf numFmtId="0" fontId="0" fillId="0" borderId="0" xfId="0" applyAlignment="1">
      <alignment horizontal="center"/>
    </xf>
    <xf numFmtId="0" fontId="42" fillId="5" borderId="2" xfId="0"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7"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0" fontId="5" fillId="0" borderId="32" xfId="0" applyFont="1" applyBorder="1" applyAlignment="1">
      <alignment horizontal="center" vertical="center"/>
    </xf>
    <xf numFmtId="9" fontId="53" fillId="26" borderId="2" xfId="10" applyNumberFormat="1" applyFill="1" applyBorder="1" applyAlignment="1">
      <alignment horizontal="center" vertical="center"/>
    </xf>
    <xf numFmtId="9" fontId="53" fillId="26" borderId="3" xfId="10" applyNumberFormat="1" applyFill="1" applyBorder="1" applyAlignment="1">
      <alignment horizontal="center" vertical="center"/>
    </xf>
    <xf numFmtId="9" fontId="53" fillId="26" borderId="4" xfId="10" applyNumberFormat="1" applyFill="1" applyBorder="1" applyAlignment="1">
      <alignment horizontal="center" vertical="center"/>
    </xf>
    <xf numFmtId="9" fontId="53" fillId="26" borderId="7" xfId="10" applyNumberFormat="1" applyFill="1" applyBorder="1" applyAlignment="1">
      <alignment horizontal="center" vertical="center"/>
    </xf>
    <xf numFmtId="9" fontId="53" fillId="26" borderId="8" xfId="10" applyNumberFormat="1" applyFill="1" applyBorder="1" applyAlignment="1">
      <alignment horizontal="center" vertical="center"/>
    </xf>
    <xf numFmtId="9" fontId="53" fillId="26" borderId="9" xfId="10" applyNumberFormat="1" applyFill="1" applyBorder="1" applyAlignment="1">
      <alignment horizontal="center" vertical="center"/>
    </xf>
    <xf numFmtId="0" fontId="44" fillId="24" borderId="0" xfId="0" applyFont="1" applyFill="1" applyAlignment="1">
      <alignment horizontal="center"/>
    </xf>
    <xf numFmtId="0" fontId="7" fillId="0" borderId="2" xfId="0" applyFont="1" applyBorder="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9" fontId="57" fillId="26" borderId="5" xfId="1" applyFont="1" applyFill="1" applyBorder="1" applyAlignment="1">
      <alignment horizontal="center" vertical="center"/>
    </xf>
    <xf numFmtId="9" fontId="57" fillId="26" borderId="0" xfId="1" applyFont="1" applyFill="1" applyBorder="1" applyAlignment="1">
      <alignment horizontal="center" vertical="center"/>
    </xf>
    <xf numFmtId="9" fontId="57" fillId="26" borderId="6" xfId="1" applyFont="1" applyFill="1" applyBorder="1" applyAlignment="1">
      <alignment horizontal="center" vertical="center"/>
    </xf>
    <xf numFmtId="9" fontId="57" fillId="26" borderId="7" xfId="1" applyFont="1" applyFill="1" applyBorder="1" applyAlignment="1">
      <alignment horizontal="center" vertical="center"/>
    </xf>
    <xf numFmtId="9" fontId="57" fillId="26" borderId="8" xfId="1" applyFont="1" applyFill="1" applyBorder="1" applyAlignment="1">
      <alignment horizontal="center" vertical="center"/>
    </xf>
    <xf numFmtId="9" fontId="57" fillId="26" borderId="9" xfId="1" applyFont="1" applyFill="1" applyBorder="1" applyAlignment="1">
      <alignment horizontal="center" vertical="center"/>
    </xf>
    <xf numFmtId="9" fontId="57" fillId="26" borderId="2" xfId="1" applyFont="1" applyFill="1" applyBorder="1" applyAlignment="1">
      <alignment horizontal="center" vertical="center"/>
    </xf>
    <xf numFmtId="9" fontId="57" fillId="26" borderId="3" xfId="1" applyFont="1" applyFill="1" applyBorder="1" applyAlignment="1">
      <alignment horizontal="center" vertical="center"/>
    </xf>
    <xf numFmtId="9" fontId="57" fillId="26" borderId="4" xfId="1" applyFont="1" applyFill="1" applyBorder="1" applyAlignment="1">
      <alignment horizontal="center" vertical="center"/>
    </xf>
    <xf numFmtId="9" fontId="57" fillId="26" borderId="5" xfId="1" applyFont="1" applyFill="1" applyBorder="1" applyAlignment="1">
      <alignment horizontal="center" vertical="center" wrapText="1"/>
    </xf>
    <xf numFmtId="9" fontId="57" fillId="26" borderId="0" xfId="1" applyFont="1" applyFill="1" applyBorder="1" applyAlignment="1">
      <alignment horizontal="center" vertical="center" wrapText="1"/>
    </xf>
    <xf numFmtId="9" fontId="57" fillId="26" borderId="6" xfId="1" applyFont="1" applyFill="1" applyBorder="1" applyAlignment="1">
      <alignment horizontal="center" vertical="center" wrapText="1"/>
    </xf>
    <xf numFmtId="9" fontId="57" fillId="26" borderId="7" xfId="1" applyFont="1" applyFill="1" applyBorder="1" applyAlignment="1">
      <alignment horizontal="center" vertical="center" wrapText="1"/>
    </xf>
    <xf numFmtId="9" fontId="57" fillId="26" borderId="8" xfId="1" applyFont="1" applyFill="1" applyBorder="1" applyAlignment="1">
      <alignment horizontal="center" vertical="center" wrapText="1"/>
    </xf>
    <xf numFmtId="9" fontId="57" fillId="26" borderId="9" xfId="1" applyFont="1" applyFill="1" applyBorder="1" applyAlignment="1">
      <alignment horizontal="center" vertical="center" wrapText="1"/>
    </xf>
    <xf numFmtId="10" fontId="21" fillId="0" borderId="32" xfId="1" applyNumberFormat="1" applyFont="1" applyBorder="1" applyAlignment="1">
      <alignment horizontal="center"/>
    </xf>
    <xf numFmtId="0" fontId="5" fillId="0" borderId="0" xfId="0" applyFont="1" applyAlignment="1">
      <alignment horizontal="center"/>
    </xf>
    <xf numFmtId="0" fontId="62" fillId="24" borderId="0" xfId="0" applyFont="1" applyFill="1" applyAlignment="1">
      <alignment horizontal="center" vertical="center"/>
    </xf>
    <xf numFmtId="0" fontId="7" fillId="0" borderId="2" xfId="0" applyFont="1" applyBorder="1" applyAlignment="1">
      <alignment horizontal="center" vertical="center"/>
    </xf>
    <xf numFmtId="0" fontId="7" fillId="0" borderId="30" xfId="0" applyFont="1" applyBorder="1" applyAlignment="1">
      <alignment horizontal="center" vertical="center"/>
    </xf>
    <xf numFmtId="0" fontId="7" fillId="0" borderId="7" xfId="0" applyFont="1" applyBorder="1" applyAlignment="1">
      <alignment horizontal="center" vertical="center"/>
    </xf>
    <xf numFmtId="0" fontId="7" fillId="0" borderId="31" xfId="0" applyFont="1" applyBorder="1" applyAlignment="1">
      <alignment horizontal="center" vertical="center"/>
    </xf>
    <xf numFmtId="0" fontId="60" fillId="0" borderId="28" xfId="0" applyFont="1" applyBorder="1" applyAlignment="1">
      <alignment horizontal="center" vertical="center"/>
    </xf>
    <xf numFmtId="0" fontId="60" fillId="0" borderId="3" xfId="0" applyFont="1" applyBorder="1" applyAlignment="1">
      <alignment horizontal="center" vertical="center"/>
    </xf>
    <xf numFmtId="0" fontId="60" fillId="0" borderId="30" xfId="0" applyFont="1" applyBorder="1" applyAlignment="1">
      <alignment horizontal="center" vertical="center"/>
    </xf>
    <xf numFmtId="0" fontId="60" fillId="0" borderId="29" xfId="0" applyFont="1" applyBorder="1" applyAlignment="1">
      <alignment horizontal="center" vertical="center"/>
    </xf>
    <xf numFmtId="0" fontId="60" fillId="0" borderId="8" xfId="0" applyFont="1" applyBorder="1" applyAlignment="1">
      <alignment horizontal="center" vertical="center"/>
    </xf>
    <xf numFmtId="0" fontId="60" fillId="0" borderId="31" xfId="0" applyFont="1" applyBorder="1" applyAlignment="1">
      <alignment horizontal="center" vertical="center"/>
    </xf>
    <xf numFmtId="0" fontId="7" fillId="26" borderId="28" xfId="0" applyFont="1" applyFill="1" applyBorder="1" applyAlignment="1">
      <alignment horizontal="center" vertical="center"/>
    </xf>
    <xf numFmtId="0" fontId="7" fillId="26" borderId="3" xfId="0" applyFont="1" applyFill="1" applyBorder="1" applyAlignment="1">
      <alignment horizontal="center" vertical="center"/>
    </xf>
    <xf numFmtId="0" fontId="7" fillId="26" borderId="30" xfId="0" applyFont="1" applyFill="1" applyBorder="1" applyAlignment="1">
      <alignment horizontal="center" vertical="center"/>
    </xf>
    <xf numFmtId="0" fontId="7" fillId="26" borderId="29" xfId="0" applyFont="1" applyFill="1" applyBorder="1" applyAlignment="1">
      <alignment horizontal="center" vertical="center"/>
    </xf>
    <xf numFmtId="0" fontId="7" fillId="26" borderId="8" xfId="0" applyFont="1" applyFill="1" applyBorder="1" applyAlignment="1">
      <alignment horizontal="center" vertical="center"/>
    </xf>
    <xf numFmtId="0" fontId="7" fillId="26" borderId="31" xfId="0" applyFont="1" applyFill="1" applyBorder="1" applyAlignment="1">
      <alignment horizontal="center" vertical="center"/>
    </xf>
    <xf numFmtId="0" fontId="61" fillId="0" borderId="2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29" xfId="0" applyFont="1" applyBorder="1" applyAlignment="1">
      <alignment horizontal="center" vertical="center" wrapText="1"/>
    </xf>
    <xf numFmtId="0" fontId="61" fillId="0" borderId="8" xfId="0" applyFont="1" applyBorder="1" applyAlignment="1">
      <alignment horizontal="center" vertical="center" wrapText="1"/>
    </xf>
    <xf numFmtId="0" fontId="61" fillId="0" borderId="31" xfId="0" applyFont="1" applyBorder="1" applyAlignment="1">
      <alignment horizontal="center" vertical="center" wrapText="1"/>
    </xf>
    <xf numFmtId="0" fontId="7" fillId="0" borderId="28" xfId="0" applyFont="1" applyBorder="1" applyAlignment="1">
      <alignment horizontal="center" vertical="center"/>
    </xf>
    <xf numFmtId="0" fontId="7" fillId="0" borderId="3" xfId="0" applyFont="1" applyBorder="1" applyAlignment="1">
      <alignment horizontal="center" vertical="center"/>
    </xf>
    <xf numFmtId="0" fontId="7" fillId="0" borderId="29" xfId="0" applyFont="1" applyBorder="1" applyAlignment="1">
      <alignment horizontal="center" vertical="center"/>
    </xf>
    <xf numFmtId="0" fontId="7" fillId="0" borderId="8" xfId="0" applyFont="1" applyBorder="1" applyAlignment="1">
      <alignment horizontal="center" vertical="center"/>
    </xf>
    <xf numFmtId="166" fontId="42" fillId="27" borderId="3" xfId="0" applyNumberFormat="1" applyFont="1" applyFill="1" applyBorder="1" applyAlignment="1">
      <alignment horizontal="center" vertical="center"/>
    </xf>
    <xf numFmtId="166" fontId="42" fillId="27" borderId="4" xfId="0" applyNumberFormat="1" applyFont="1" applyFill="1" applyBorder="1" applyAlignment="1">
      <alignment horizontal="center" vertical="center"/>
    </xf>
    <xf numFmtId="166" fontId="42" fillId="27" borderId="8" xfId="0" applyNumberFormat="1" applyFont="1" applyFill="1" applyBorder="1" applyAlignment="1">
      <alignment horizontal="center" vertical="center"/>
    </xf>
    <xf numFmtId="166" fontId="42" fillId="27" borderId="9" xfId="0" applyNumberFormat="1" applyFont="1" applyFill="1" applyBorder="1" applyAlignment="1">
      <alignment horizontal="center" vertical="center"/>
    </xf>
    <xf numFmtId="0" fontId="67" fillId="5" borderId="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67" fillId="5" borderId="4"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8" xfId="0" applyFont="1" applyFill="1" applyBorder="1" applyAlignment="1">
      <alignment horizontal="center" vertical="center" wrapText="1"/>
    </xf>
    <xf numFmtId="0" fontId="67" fillId="5" borderId="9" xfId="0" applyFont="1" applyFill="1" applyBorder="1" applyAlignment="1">
      <alignment horizontal="center" vertical="center" wrapText="1"/>
    </xf>
    <xf numFmtId="3" fontId="50" fillId="5" borderId="2" xfId="0" applyNumberFormat="1" applyFont="1" applyFill="1" applyBorder="1" applyAlignment="1">
      <alignment horizontal="center" vertical="center" wrapText="1"/>
    </xf>
    <xf numFmtId="3" fontId="50" fillId="5" borderId="3" xfId="0" applyNumberFormat="1" applyFont="1" applyFill="1" applyBorder="1" applyAlignment="1">
      <alignment horizontal="center" vertical="center" wrapText="1"/>
    </xf>
    <xf numFmtId="3" fontId="50" fillId="5" borderId="4" xfId="0" applyNumberFormat="1" applyFont="1" applyFill="1" applyBorder="1" applyAlignment="1">
      <alignment horizontal="center" vertical="center" wrapText="1"/>
    </xf>
    <xf numFmtId="3" fontId="50" fillId="5" borderId="7" xfId="0" applyNumberFormat="1" applyFont="1" applyFill="1" applyBorder="1" applyAlignment="1">
      <alignment horizontal="center" vertical="center" wrapText="1"/>
    </xf>
    <xf numFmtId="3" fontId="50" fillId="5" borderId="8" xfId="0" applyNumberFormat="1" applyFont="1" applyFill="1" applyBorder="1" applyAlignment="1">
      <alignment horizontal="center" vertical="center" wrapText="1"/>
    </xf>
    <xf numFmtId="3" fontId="50" fillId="5" borderId="9" xfId="0" applyNumberFormat="1" applyFont="1" applyFill="1" applyBorder="1" applyAlignment="1">
      <alignment horizontal="center" vertical="center" wrapText="1"/>
    </xf>
    <xf numFmtId="0" fontId="46" fillId="0" borderId="0" xfId="0" applyFont="1" applyAlignment="1">
      <alignment horizontal="center"/>
    </xf>
    <xf numFmtId="0" fontId="5" fillId="0" borderId="32" xfId="0" applyFont="1" applyBorder="1" applyAlignment="1">
      <alignment horizontal="center"/>
    </xf>
    <xf numFmtId="10" fontId="56" fillId="5" borderId="2" xfId="0" applyNumberFormat="1" applyFont="1" applyFill="1" applyBorder="1" applyAlignment="1">
      <alignment horizontal="center" vertical="center" wrapText="1"/>
    </xf>
    <xf numFmtId="10" fontId="56" fillId="5" borderId="3" xfId="0" applyNumberFormat="1" applyFont="1" applyFill="1" applyBorder="1" applyAlignment="1">
      <alignment horizontal="center" vertical="center" wrapText="1"/>
    </xf>
    <xf numFmtId="10" fontId="56" fillId="5" borderId="4" xfId="0" applyNumberFormat="1" applyFont="1" applyFill="1" applyBorder="1" applyAlignment="1">
      <alignment horizontal="center" vertical="center" wrapText="1"/>
    </xf>
    <xf numFmtId="10" fontId="56" fillId="5" borderId="7" xfId="0" applyNumberFormat="1" applyFont="1" applyFill="1" applyBorder="1" applyAlignment="1">
      <alignment horizontal="center" vertical="center" wrapText="1"/>
    </xf>
    <xf numFmtId="10" fontId="56" fillId="5" borderId="8" xfId="0" applyNumberFormat="1" applyFont="1" applyFill="1" applyBorder="1" applyAlignment="1">
      <alignment horizontal="center" vertical="center" wrapText="1"/>
    </xf>
    <xf numFmtId="10" fontId="56" fillId="5" borderId="9" xfId="0" applyNumberFormat="1" applyFont="1" applyFill="1" applyBorder="1" applyAlignment="1">
      <alignment horizontal="center" vertical="center" wrapText="1"/>
    </xf>
    <xf numFmtId="0" fontId="46" fillId="0" borderId="21" xfId="0" applyFont="1" applyBorder="1" applyAlignment="1">
      <alignment horizontal="center"/>
    </xf>
    <xf numFmtId="0" fontId="46" fillId="0" borderId="22" xfId="0" applyFont="1" applyBorder="1" applyAlignment="1">
      <alignment horizontal="center"/>
    </xf>
    <xf numFmtId="0" fontId="13" fillId="0" borderId="32" xfId="0" applyFont="1" applyBorder="1" applyAlignment="1">
      <alignment horizont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8" fillId="25" borderId="11" xfId="0" applyFont="1" applyFill="1" applyBorder="1" applyAlignment="1">
      <alignment horizontal="center" vertical="center"/>
    </xf>
    <xf numFmtId="0" fontId="58" fillId="25" borderId="34" xfId="0" applyFont="1" applyFill="1" applyBorder="1" applyAlignment="1">
      <alignment horizontal="center" vertical="center"/>
    </xf>
    <xf numFmtId="0" fontId="58" fillId="25" borderId="12" xfId="0" applyFont="1" applyFill="1" applyBorder="1" applyAlignment="1">
      <alignment horizontal="center" vertical="center"/>
    </xf>
    <xf numFmtId="0" fontId="63" fillId="24" borderId="0" xfId="0" applyFont="1" applyFill="1" applyAlignment="1">
      <alignment horizontal="center" vertical="center"/>
    </xf>
    <xf numFmtId="0" fontId="0" fillId="5" borderId="11" xfId="0" applyFill="1" applyBorder="1" applyAlignment="1">
      <alignment horizontal="right" vertical="center"/>
    </xf>
    <xf numFmtId="0" fontId="0" fillId="5" borderId="34" xfId="0" applyFill="1" applyBorder="1" applyAlignment="1">
      <alignment horizontal="right" vertical="center"/>
    </xf>
    <xf numFmtId="0" fontId="0" fillId="5" borderId="11" xfId="0" applyFill="1" applyBorder="1" applyAlignment="1">
      <alignment horizontal="right" vertical="center" wrapText="1"/>
    </xf>
    <xf numFmtId="0" fontId="0" fillId="5" borderId="34" xfId="0" applyFill="1" applyBorder="1" applyAlignment="1">
      <alignment horizontal="right" vertical="center" wrapText="1"/>
    </xf>
    <xf numFmtId="9" fontId="31" fillId="26" borderId="7" xfId="2" applyNumberFormat="1" applyFont="1" applyFill="1" applyBorder="1" applyAlignment="1">
      <alignment horizontal="center"/>
    </xf>
    <xf numFmtId="9" fontId="31" fillId="26" borderId="8" xfId="2" applyNumberFormat="1" applyFont="1" applyFill="1" applyBorder="1" applyAlignment="1">
      <alignment horizontal="center"/>
    </xf>
    <xf numFmtId="9" fontId="31" fillId="26" borderId="9" xfId="2" applyNumberFormat="1" applyFont="1" applyFill="1" applyBorder="1" applyAlignment="1">
      <alignment horizontal="center"/>
    </xf>
    <xf numFmtId="9" fontId="49" fillId="5" borderId="11" xfId="2" applyNumberFormat="1" applyFont="1" applyFill="1" applyBorder="1" applyAlignment="1">
      <alignment horizontal="center" vertical="center" wrapText="1"/>
    </xf>
    <xf numFmtId="9" fontId="49" fillId="5" borderId="34" xfId="2" applyNumberFormat="1" applyFont="1" applyFill="1" applyBorder="1" applyAlignment="1">
      <alignment horizontal="center" vertical="center" wrapText="1"/>
    </xf>
    <xf numFmtId="9" fontId="49" fillId="5" borderId="12" xfId="2" applyNumberFormat="1" applyFont="1" applyFill="1" applyBorder="1" applyAlignment="1">
      <alignment horizontal="center" vertical="center" wrapText="1"/>
    </xf>
    <xf numFmtId="0" fontId="5" fillId="25" borderId="19" xfId="0" applyFont="1" applyFill="1" applyBorder="1" applyAlignment="1">
      <alignment horizontal="center"/>
    </xf>
    <xf numFmtId="0" fontId="5" fillId="25" borderId="0" xfId="0" applyFont="1" applyFill="1" applyAlignment="1">
      <alignment horizontal="center"/>
    </xf>
    <xf numFmtId="9" fontId="6" fillId="0" borderId="2" xfId="0" applyNumberFormat="1" applyFont="1" applyBorder="1" applyAlignment="1">
      <alignment horizontal="center" vertical="center"/>
    </xf>
    <xf numFmtId="9" fontId="6" fillId="0" borderId="5" xfId="0" applyNumberFormat="1" applyFont="1" applyBorder="1" applyAlignment="1">
      <alignment horizontal="center" vertical="center"/>
    </xf>
    <xf numFmtId="9" fontId="6" fillId="0" borderId="7" xfId="0" applyNumberFormat="1" applyFont="1" applyBorder="1" applyAlignment="1">
      <alignment horizontal="center" vertical="center"/>
    </xf>
    <xf numFmtId="0" fontId="6" fillId="0" borderId="2"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8" fillId="25" borderId="8" xfId="0" applyFont="1" applyFill="1" applyBorder="1" applyAlignment="1">
      <alignment horizontal="center" vertical="center"/>
    </xf>
    <xf numFmtId="0" fontId="8" fillId="25" borderId="0" xfId="0" applyFont="1" applyFill="1" applyAlignment="1">
      <alignment horizontal="center" vertical="center"/>
    </xf>
    <xf numFmtId="0" fontId="8" fillId="25" borderId="0" xfId="0" applyFont="1" applyFill="1" applyAlignment="1">
      <alignment horizontal="center"/>
    </xf>
    <xf numFmtId="0" fontId="8" fillId="25" borderId="8" xfId="0" applyFont="1" applyFill="1" applyBorder="1" applyAlignment="1">
      <alignment horizontal="center"/>
    </xf>
  </cellXfs>
  <cellStyles count="11">
    <cellStyle name="Calculation" xfId="3" builtinId="22"/>
    <cellStyle name="Comma" xfId="5" builtinId="3"/>
    <cellStyle name="Explanatory Text" xfId="4" builtinId="53"/>
    <cellStyle name="Explanatory Text 2" xfId="8" xr:uid="{028F2368-EA2A-46C0-BFD0-8E963DE3EA7F}"/>
    <cellStyle name="Hyperlink" xfId="10" builtinId="8"/>
    <cellStyle name="Input" xfId="2" builtinId="20"/>
    <cellStyle name="Input 2" xfId="9" xr:uid="{F6226A04-3EB0-4248-916B-DFA49057F10E}"/>
    <cellStyle name="Normal" xfId="0" builtinId="0"/>
    <cellStyle name="Normal 2" xfId="7" xr:uid="{C5EFC407-2DB6-49DA-9CD4-4ED3E8430B75}"/>
    <cellStyle name="Percent" xfId="1" builtinId="5"/>
    <cellStyle name="User Entry" xfId="6" xr:uid="{6CC9225B-943C-4045-B1A3-D920A5C7F064}"/>
  </cellStyles>
  <dxfs count="5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ont>
        <strike val="0"/>
        <outline val="0"/>
        <shadow val="0"/>
        <u val="none"/>
        <vertAlign val="baseline"/>
        <sz val="11"/>
        <color theme="4" tint="-0.249977111117893"/>
        <name val="Calibri"/>
        <family val="2"/>
        <scheme val="minor"/>
      </font>
      <numFmt numFmtId="14" formatCode="0.00%"/>
      <alignment horizontal="center" vertical="bottom" textRotation="0" wrapText="0" indent="0" justifyLastLine="0" shrinkToFit="0" readingOrder="0"/>
    </dxf>
    <dxf>
      <font>
        <strike val="0"/>
        <outline val="0"/>
        <shadow val="0"/>
        <u val="none"/>
        <vertAlign val="baseline"/>
        <sz val="11"/>
        <color theme="4" tint="-0.249977111117893"/>
        <name val="Calibri"/>
        <family val="2"/>
        <scheme val="minor"/>
      </font>
      <numFmt numFmtId="13" formatCode="0%"/>
      <alignment horizontal="center" vertical="bottom" textRotation="0" wrapText="0" indent="0" justifyLastLine="0" shrinkToFit="0" readingOrder="0"/>
      <border diagonalUp="0" diagonalDown="0" outline="0">
        <left style="thin">
          <color rgb="FF7F7F7F"/>
        </left>
      </border>
    </dxf>
    <dxf>
      <fill>
        <patternFill patternType="solid">
          <fgColor indexed="64"/>
          <bgColor theme="5" tint="0.59999389629810485"/>
        </patternFill>
      </fill>
      <alignment horizontal="center" vertical="bottom" textRotation="0" wrapText="0" indent="0" justifyLastLine="0" shrinkToFit="0" readingOrder="0"/>
    </dxf>
    <dxf>
      <font>
        <b val="0"/>
        <i val="0"/>
        <strike val="0"/>
        <condense val="0"/>
        <extend val="0"/>
        <outline val="0"/>
        <shadow val="0"/>
        <u val="none"/>
        <vertAlign val="baseline"/>
        <sz val="11"/>
        <color theme="4" tint="-0.249977111117893"/>
        <name val="Calibri"/>
        <family val="2"/>
        <scheme val="minor"/>
      </font>
      <numFmt numFmtId="14" formatCode="0.00%"/>
      <alignment horizontal="center" vertical="bottom" textRotation="0" wrapText="0" indent="0" justifyLastLine="0" shrinkToFit="0" readingOrder="0"/>
      <border diagonalUp="0" diagonalDown="0" outline="0">
        <left/>
        <right style="thin">
          <color rgb="FF7F7F7F"/>
        </right>
      </border>
    </dxf>
    <dxf>
      <border diagonalUp="0" diagonalDown="0">
        <left style="medium">
          <color indexed="64"/>
        </left>
        <right style="medium">
          <color indexed="64"/>
        </right>
        <top style="medium">
          <color indexed="64"/>
        </top>
        <bottom style="medium">
          <color indexed="64"/>
        </bottom>
      </border>
    </dxf>
    <dxf>
      <alignment horizontal="center" vertical="center" textRotation="0" wrapText="0" indent="0" justifyLastLine="0" shrinkToFit="0" readingOrder="0"/>
    </dxf>
    <dxf>
      <font>
        <strike val="0"/>
        <outline val="0"/>
        <shadow val="0"/>
        <u val="none"/>
        <vertAlign val="baseline"/>
        <sz val="11"/>
        <color theme="4" tint="-0.249977111117893"/>
        <name val="Calibri"/>
        <family val="2"/>
        <scheme val="minor"/>
      </font>
      <numFmt numFmtId="14" formatCode="0.00%"/>
    </dxf>
    <dxf>
      <font>
        <b val="0"/>
        <i val="0"/>
        <strike val="0"/>
        <condense val="0"/>
        <extend val="0"/>
        <outline val="0"/>
        <shadow val="0"/>
        <u val="none"/>
        <vertAlign val="baseline"/>
        <sz val="11"/>
        <color theme="4" tint="-0.249977111117893"/>
        <name val="Calibri"/>
        <family val="2"/>
        <scheme val="minor"/>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rgb="FF00B050"/>
        <name val="Calibri"/>
        <family val="2"/>
        <scheme val="minor"/>
      </font>
      <fill>
        <patternFill patternType="none">
          <fgColor indexed="64"/>
          <bgColor indexed="65"/>
        </patternFill>
      </fill>
      <alignment horizontal="center" vertical="bottom" textRotation="0" wrapText="0" indent="0" justifyLastLine="0" shrinkToFit="0" readingOrder="0"/>
    </dxf>
    <dxf>
      <border diagonalUp="0" diagonalDown="0">
        <left/>
        <right style="medium">
          <color indexed="64"/>
        </right>
        <top/>
        <bottom/>
        <vertical/>
        <horizontal/>
      </border>
    </dxf>
    <dxf>
      <font>
        <b val="0"/>
        <i val="0"/>
        <strike val="0"/>
        <condense val="0"/>
        <extend val="0"/>
        <outline val="0"/>
        <shadow val="0"/>
        <u val="none"/>
        <vertAlign val="baseline"/>
        <sz val="11"/>
        <color rgb="FF00B050"/>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B050"/>
        <name val="Calibri"/>
        <family val="2"/>
        <scheme val="minor"/>
      </font>
      <numFmt numFmtId="3" formatCode="#,##0"/>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11"/>
        <color rgb="FF0070C0"/>
        <name val="Calibri"/>
        <family val="2"/>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1"/>
        <color rgb="FF3F3F76"/>
        <name val="Calibri"/>
        <family val="2"/>
        <scheme val="minor"/>
      </font>
      <numFmt numFmtId="13" formatCode="0%"/>
      <fill>
        <patternFill patternType="solid">
          <fgColor indexed="64"/>
          <bgColor theme="5" tint="0.59999389629810485"/>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B050"/>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rgb="FF00B050"/>
        <name val="Calibri"/>
        <family val="2"/>
        <scheme val="minor"/>
      </font>
      <alignment horizontal="center"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alignment horizontal="right" vertical="bottom" textRotation="0" wrapText="1" indent="0" justifyLastLine="0" shrinkToFit="0" readingOrder="0"/>
      <border diagonalUp="0" diagonalDown="0">
        <left style="medium">
          <color indexed="64"/>
        </left>
        <right/>
        <top/>
        <bottom/>
        <vertical/>
        <horizontal/>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i val="0"/>
        <strike val="0"/>
        <condense val="0"/>
        <extend val="0"/>
        <outline val="0"/>
        <shadow val="0"/>
        <u val="none"/>
        <vertAlign val="baseline"/>
        <sz val="11"/>
        <color rgb="FF00B050"/>
        <name val="Calibri"/>
        <family val="2"/>
        <scheme val="minor"/>
      </font>
      <numFmt numFmtId="166" formatCode="_(* #,##0_);_(* \(#,##0\);_(* &quot;-&quot;??_);_(@_)"/>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rgb="FF0070C0"/>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rgb="FF0070C0"/>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rgb="FF0070C0"/>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rgb="FF0070C0"/>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rgb="FF0070C0"/>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rgb="FF0070C0"/>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rgb="FF00B050"/>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rgb="FF00B050"/>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font>
        <b/>
        <i val="0"/>
        <strike val="0"/>
        <condense val="0"/>
        <extend val="0"/>
        <outline val="0"/>
        <shadow val="0"/>
        <u val="none"/>
        <vertAlign val="baseline"/>
        <sz val="11"/>
        <color theme="1"/>
        <name val="Calibri"/>
        <family val="2"/>
        <scheme val="minor"/>
      </font>
      <fill>
        <patternFill patternType="solid">
          <fgColor indexed="64"/>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rgb="FF0070C0"/>
        <name val="Calibri"/>
        <family val="2"/>
        <scheme val="minor"/>
      </font>
      <fill>
        <patternFill patternType="solid">
          <fgColor indexed="64"/>
          <bgColor theme="4" tint="0.79998168889431442"/>
        </patternFill>
      </fill>
      <alignment horizontal="general" vertical="center"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dxf>
    <dxf>
      <font>
        <b val="0"/>
        <i/>
        <strike val="0"/>
        <condense val="0"/>
        <extend val="0"/>
        <outline val="0"/>
        <shadow val="0"/>
        <u val="none"/>
        <vertAlign val="baseline"/>
        <sz val="11"/>
        <color rgb="FF0070C0"/>
        <name val="Calibri"/>
        <family val="2"/>
        <scheme val="minor"/>
      </font>
      <fill>
        <patternFill patternType="none">
          <fgColor indexed="64"/>
          <bgColor indexed="65"/>
        </patternFill>
      </fill>
      <alignment horizontal="center" vertical="center" textRotation="0" wrapText="0" indent="0" justifyLastLine="0" shrinkToFit="0" readingOrder="0"/>
    </dxf>
    <dxf>
      <alignment horizontal="general" vertical="center" textRotation="0" wrapText="1" indent="0" justifyLastLine="0" shrinkToFit="0" readingOrder="0"/>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0.0%"/>
    </dxf>
    <dxf>
      <font>
        <b/>
        <i val="0"/>
        <strike val="0"/>
        <condense val="0"/>
        <extend val="0"/>
        <outline val="0"/>
        <shadow val="0"/>
        <u val="none"/>
        <vertAlign val="baseline"/>
        <sz val="11"/>
        <color theme="0"/>
        <name val="Calibri"/>
        <family val="2"/>
        <scheme val="minor"/>
      </font>
      <fill>
        <patternFill patternType="solid">
          <fgColor theme="4"/>
          <bgColor theme="4"/>
        </patternFill>
      </fill>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4" formatCode="0.00%"/>
      <alignment horizontal="center"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colors>
    <mruColors>
      <color rgb="FFFB8C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theme" Target="theme/theme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sharedStrings" Target="sharedStrings.xml"/><Relationship Id="rId35"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i="0">
                <a:latin typeface="Arial" panose="020B0604020202020204" pitchFamily="34" charset="0"/>
                <a:cs typeface="Arial" panose="020B0604020202020204" pitchFamily="34" charset="0"/>
              </a:rPr>
              <a:t>Fig 1. Baseline BAU Electricity Consumption by Sector (GWh)</a:t>
            </a:r>
          </a:p>
        </c:rich>
      </c:tx>
      <c:layout>
        <c:manualLayout>
          <c:xMode val="edge"/>
          <c:yMode val="edge"/>
          <c:x val="0.16734482110490437"/>
          <c:y val="2.455700548694731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areaChart>
        <c:grouping val="stacked"/>
        <c:varyColors val="0"/>
        <c:ser>
          <c:idx val="0"/>
          <c:order val="0"/>
          <c:tx>
            <c:v>Residential</c:v>
          </c:tx>
          <c:spPr>
            <a:solidFill>
              <a:schemeClr val="accent5">
                <a:lumMod val="50000"/>
              </a:schemeClr>
            </a:solidFill>
            <a:ln w="3175">
              <a:solidFill>
                <a:sysClr val="windowText" lastClr="000000"/>
              </a:solidFill>
            </a:ln>
            <a:effectLst/>
          </c:spPr>
          <c:cat>
            <c:numRef>
              <c:f>'Consumption Forecasts'!$B$2:$V$2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'Consumption Forecasts'!$B$3:$V$3</c:f>
              <c:numCache>
                <c:formatCode>#,##0</c:formatCode>
                <c:ptCount val="21"/>
                <c:pt idx="0">
                  <c:v>6548.8704746003232</c:v>
                </c:pt>
                <c:pt idx="1">
                  <c:v>6543.0670838536125</c:v>
                </c:pt>
                <c:pt idx="2">
                  <c:v>6533.4821559001857</c:v>
                </c:pt>
                <c:pt idx="3">
                  <c:v>6532.1742597750181</c:v>
                </c:pt>
                <c:pt idx="4">
                  <c:v>6530.1185113464207</c:v>
                </c:pt>
                <c:pt idx="5">
                  <c:v>6523.9394330959913</c:v>
                </c:pt>
                <c:pt idx="6">
                  <c:v>6507.6707612834625</c:v>
                </c:pt>
                <c:pt idx="7">
                  <c:v>6484.2397527818048</c:v>
                </c:pt>
                <c:pt idx="8">
                  <c:v>6443.6232199046653</c:v>
                </c:pt>
                <c:pt idx="9">
                  <c:v>6394.8677960285831</c:v>
                </c:pt>
                <c:pt idx="10">
                  <c:v>6312.1525191343326</c:v>
                </c:pt>
                <c:pt idx="11">
                  <c:v>6240.8247212236038</c:v>
                </c:pt>
                <c:pt idx="12">
                  <c:v>6176.5115737203123</c:v>
                </c:pt>
                <c:pt idx="13">
                  <c:v>6114.9914870297844</c:v>
                </c:pt>
                <c:pt idx="14">
                  <c:v>6057.360769846332</c:v>
                </c:pt>
                <c:pt idx="15">
                  <c:v>6004.2615690520533</c:v>
                </c:pt>
                <c:pt idx="16">
                  <c:v>5955.5169509791294</c:v>
                </c:pt>
                <c:pt idx="17">
                  <c:v>5911.248954614638</c:v>
                </c:pt>
                <c:pt idx="18">
                  <c:v>5870.7648202702221</c:v>
                </c:pt>
                <c:pt idx="19">
                  <c:v>5834.9349060977875</c:v>
                </c:pt>
                <c:pt idx="20">
                  <c:v>5806.9448509235799</c:v>
                </c:pt>
              </c:numCache>
            </c:numRef>
          </c:val>
          <c:extLst>
            <c:ext xmlns:c16="http://schemas.microsoft.com/office/drawing/2014/chart" uri="{C3380CC4-5D6E-409C-BE32-E72D297353CC}">
              <c16:uniqueId val="{00000000-C772-4E4A-A5BE-3ED1418F8CA3}"/>
            </c:ext>
          </c:extLst>
        </c:ser>
        <c:ser>
          <c:idx val="1"/>
          <c:order val="1"/>
          <c:tx>
            <c:v>Commercial</c:v>
          </c:tx>
          <c:spPr>
            <a:solidFill>
              <a:schemeClr val="accent2">
                <a:lumMod val="75000"/>
              </a:schemeClr>
            </a:solidFill>
            <a:ln w="3175">
              <a:solidFill>
                <a:sysClr val="windowText" lastClr="000000"/>
              </a:solidFill>
            </a:ln>
            <a:effectLst/>
          </c:spPr>
          <c:val>
            <c:numRef>
              <c:f>'Consumption Forecasts'!$B$5:$V$5</c:f>
              <c:numCache>
                <c:formatCode>#,##0</c:formatCode>
                <c:ptCount val="21"/>
                <c:pt idx="0">
                  <c:v>9497.1742721705814</c:v>
                </c:pt>
                <c:pt idx="1">
                  <c:v>9464.4542555829921</c:v>
                </c:pt>
                <c:pt idx="2">
                  <c:v>9414.9636763390772</c:v>
                </c:pt>
                <c:pt idx="3">
                  <c:v>9380.8953507643473</c:v>
                </c:pt>
                <c:pt idx="4">
                  <c:v>9354.523328363457</c:v>
                </c:pt>
                <c:pt idx="5">
                  <c:v>9335.8812479357166</c:v>
                </c:pt>
                <c:pt idx="6">
                  <c:v>9315.5509759371707</c:v>
                </c:pt>
                <c:pt idx="7">
                  <c:v>9308.9128383411862</c:v>
                </c:pt>
                <c:pt idx="8">
                  <c:v>9293.0553265599374</c:v>
                </c:pt>
                <c:pt idx="9">
                  <c:v>9311.8233183032207</c:v>
                </c:pt>
                <c:pt idx="10">
                  <c:v>9268.0935723745279</c:v>
                </c:pt>
                <c:pt idx="11">
                  <c:v>9231.2353877286496</c:v>
                </c:pt>
                <c:pt idx="12">
                  <c:v>9200.8575615488771</c:v>
                </c:pt>
                <c:pt idx="13">
                  <c:v>9169.3344372266056</c:v>
                </c:pt>
                <c:pt idx="14">
                  <c:v>9137.467103626097</c:v>
                </c:pt>
                <c:pt idx="15">
                  <c:v>9106.1563445978099</c:v>
                </c:pt>
                <c:pt idx="16">
                  <c:v>9075.0607363962663</c:v>
                </c:pt>
                <c:pt idx="17">
                  <c:v>9045.3590663366303</c:v>
                </c:pt>
                <c:pt idx="18">
                  <c:v>9017.0116314988518</c:v>
                </c:pt>
                <c:pt idx="19">
                  <c:v>8984.8063103417826</c:v>
                </c:pt>
                <c:pt idx="20">
                  <c:v>8960.3101268901337</c:v>
                </c:pt>
              </c:numCache>
            </c:numRef>
          </c:val>
          <c:extLst>
            <c:ext xmlns:c16="http://schemas.microsoft.com/office/drawing/2014/chart" uri="{C3380CC4-5D6E-409C-BE32-E72D297353CC}">
              <c16:uniqueId val="{00000001-C772-4E4A-A5BE-3ED1418F8CA3}"/>
            </c:ext>
          </c:extLst>
        </c:ser>
        <c:ser>
          <c:idx val="2"/>
          <c:order val="2"/>
          <c:tx>
            <c:v>Industrial</c:v>
          </c:tx>
          <c:spPr>
            <a:solidFill>
              <a:schemeClr val="bg2">
                <a:lumMod val="75000"/>
              </a:schemeClr>
            </a:solidFill>
            <a:ln w="3175">
              <a:solidFill>
                <a:sysClr val="windowText" lastClr="000000"/>
              </a:solidFill>
            </a:ln>
            <a:effectLst/>
          </c:spPr>
          <c:val>
            <c:numRef>
              <c:f>'Consumption Forecasts'!$B$7:$V$7</c:f>
              <c:numCache>
                <c:formatCode>#,##0</c:formatCode>
                <c:ptCount val="21"/>
                <c:pt idx="0">
                  <c:v>1853.2210095348682</c:v>
                </c:pt>
                <c:pt idx="1">
                  <c:v>1954.1689718472956</c:v>
                </c:pt>
                <c:pt idx="2">
                  <c:v>2065.9151973074277</c:v>
                </c:pt>
                <c:pt idx="3">
                  <c:v>2175.4205780438515</c:v>
                </c:pt>
                <c:pt idx="4">
                  <c:v>2270.1744385375937</c:v>
                </c:pt>
                <c:pt idx="5">
                  <c:v>2345.7155481354957</c:v>
                </c:pt>
                <c:pt idx="6">
                  <c:v>2405.723700063365</c:v>
                </c:pt>
                <c:pt idx="7">
                  <c:v>2436.7682298325399</c:v>
                </c:pt>
                <c:pt idx="8">
                  <c:v>2446.4238582573348</c:v>
                </c:pt>
                <c:pt idx="9">
                  <c:v>2401.3067476820788</c:v>
                </c:pt>
                <c:pt idx="10">
                  <c:v>2363.8873136874427</c:v>
                </c:pt>
                <c:pt idx="11">
                  <c:v>2339.4211169155355</c:v>
                </c:pt>
                <c:pt idx="12">
                  <c:v>2319.9922010292112</c:v>
                </c:pt>
                <c:pt idx="13">
                  <c:v>2305.7432081733605</c:v>
                </c:pt>
                <c:pt idx="14">
                  <c:v>2298.6782754755368</c:v>
                </c:pt>
                <c:pt idx="15">
                  <c:v>2298.2298558747143</c:v>
                </c:pt>
                <c:pt idx="16">
                  <c:v>2303.9409231126579</c:v>
                </c:pt>
                <c:pt idx="17">
                  <c:v>2315.4860345586617</c:v>
                </c:pt>
                <c:pt idx="18">
                  <c:v>2331.6468854780614</c:v>
                </c:pt>
                <c:pt idx="19">
                  <c:v>2354.8481340444609</c:v>
                </c:pt>
                <c:pt idx="20">
                  <c:v>2385.3082098952568</c:v>
                </c:pt>
              </c:numCache>
            </c:numRef>
          </c:val>
          <c:extLst>
            <c:ext xmlns:c16="http://schemas.microsoft.com/office/drawing/2014/chart" uri="{C3380CC4-5D6E-409C-BE32-E72D297353CC}">
              <c16:uniqueId val="{00000002-C772-4E4A-A5BE-3ED1418F8CA3}"/>
            </c:ext>
          </c:extLst>
        </c:ser>
        <c:ser>
          <c:idx val="3"/>
          <c:order val="3"/>
          <c:tx>
            <c:v>Street Lighting</c:v>
          </c:tx>
          <c:spPr>
            <a:solidFill>
              <a:schemeClr val="accent4"/>
            </a:solidFill>
            <a:ln w="3175">
              <a:solidFill>
                <a:sysClr val="windowText" lastClr="000000"/>
              </a:solidFill>
            </a:ln>
            <a:effectLst/>
          </c:spPr>
          <c:val>
            <c:numRef>
              <c:f>'Consumption Forecasts'!$B$9:$V$9</c:f>
              <c:numCache>
                <c:formatCode>#,##0</c:formatCode>
                <c:ptCount val="21"/>
                <c:pt idx="0">
                  <c:v>377.58416084422981</c:v>
                </c:pt>
                <c:pt idx="1">
                  <c:v>378.9010038660831</c:v>
                </c:pt>
                <c:pt idx="2">
                  <c:v>380.01209016577189</c:v>
                </c:pt>
                <c:pt idx="3">
                  <c:v>381.57584125422278</c:v>
                </c:pt>
                <c:pt idx="4">
                  <c:v>382.97498696494199</c:v>
                </c:pt>
                <c:pt idx="5">
                  <c:v>384.04492192019785</c:v>
                </c:pt>
                <c:pt idx="6">
                  <c:v>384.53873805339276</c:v>
                </c:pt>
                <c:pt idx="7">
                  <c:v>384.55931372560917</c:v>
                </c:pt>
                <c:pt idx="8">
                  <c:v>383.57168145921929</c:v>
                </c:pt>
                <c:pt idx="9">
                  <c:v>381.987354698552</c:v>
                </c:pt>
                <c:pt idx="10">
                  <c:v>378.53064176618687</c:v>
                </c:pt>
                <c:pt idx="11">
                  <c:v>375.73235034474862</c:v>
                </c:pt>
                <c:pt idx="12">
                  <c:v>373.32499669542284</c:v>
                </c:pt>
                <c:pt idx="13">
                  <c:v>371.06167275161249</c:v>
                </c:pt>
                <c:pt idx="14">
                  <c:v>369.02468120218316</c:v>
                </c:pt>
                <c:pt idx="15">
                  <c:v>367.23459771935114</c:v>
                </c:pt>
                <c:pt idx="16">
                  <c:v>365.67084663090031</c:v>
                </c:pt>
                <c:pt idx="17">
                  <c:v>364.35400360904697</c:v>
                </c:pt>
                <c:pt idx="18">
                  <c:v>363.24291730935818</c:v>
                </c:pt>
                <c:pt idx="19">
                  <c:v>362.27058711461586</c:v>
                </c:pt>
                <c:pt idx="20">
                  <c:v>361.79111721010747</c:v>
                </c:pt>
              </c:numCache>
            </c:numRef>
          </c:val>
          <c:extLst>
            <c:ext xmlns:c16="http://schemas.microsoft.com/office/drawing/2014/chart" uri="{C3380CC4-5D6E-409C-BE32-E72D297353CC}">
              <c16:uniqueId val="{00000003-C772-4E4A-A5BE-3ED1418F8CA3}"/>
            </c:ext>
          </c:extLst>
        </c:ser>
        <c:dLbls>
          <c:showLegendKey val="0"/>
          <c:showVal val="0"/>
          <c:showCatName val="0"/>
          <c:showSerName val="0"/>
          <c:showPercent val="0"/>
          <c:showBubbleSize val="0"/>
        </c:dLbls>
        <c:axId val="2106454031"/>
        <c:axId val="537605759"/>
      </c:areaChart>
      <c:catAx>
        <c:axId val="210645403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7605759"/>
        <c:crosses val="autoZero"/>
        <c:auto val="1"/>
        <c:lblAlgn val="ctr"/>
        <c:lblOffset val="100"/>
        <c:noMultiLvlLbl val="0"/>
      </c:catAx>
      <c:valAx>
        <c:axId val="537605759"/>
        <c:scaling>
          <c:orientation val="minMax"/>
          <c:max val="21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06454031"/>
        <c:crosses val="autoZero"/>
        <c:crossBetween val="midCat"/>
      </c:valAx>
      <c:spPr>
        <a:noFill/>
        <a:ln w="9525">
          <a:solidFill>
            <a:sysClr val="windowText" lastClr="0000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Projected</a:t>
            </a:r>
            <a:r>
              <a:rPr lang="en-US" baseline="0"/>
              <a:t> Industrial Energy Efficiency Savings Potential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val>
            <c:numRef>
              <c:f>Industrial!$AN$74:$AN$84</c:f>
            </c:numRef>
          </c:val>
          <c:extLst>
            <c:ext xmlns:c15="http://schemas.microsoft.com/office/drawing/2012/chart" uri="{02D57815-91ED-43cb-92C2-25804820EDAC}">
              <c15:filteredCategoryTitle>
                <c15:cat>
                  <c:multiLvlStrRef>
                    <c:extLst>
                      <c:ext uri="{02D57815-91ED-43cb-92C2-25804820EDAC}">
                        <c15:formulaRef>
                          <c15:sqref>Industrial!$AM$74:$AM$84</c15:sqref>
                        </c15:formulaRef>
                      </c:ext>
                    </c:extLst>
                  </c:multiLvlStrRef>
                </c15:cat>
              </c15:filteredCategoryTitle>
            </c:ext>
            <c:ext xmlns:c16="http://schemas.microsoft.com/office/drawing/2014/chart" uri="{C3380CC4-5D6E-409C-BE32-E72D297353CC}">
              <c16:uniqueId val="{00000000-A9D5-4890-9327-8A1E02DBDBF7}"/>
            </c:ext>
          </c:extLst>
        </c:ser>
        <c:dLbls>
          <c:showLegendKey val="0"/>
          <c:showVal val="0"/>
          <c:showCatName val="0"/>
          <c:showSerName val="0"/>
          <c:showPercent val="0"/>
          <c:showBubbleSize val="0"/>
        </c:dLbls>
        <c:gapWidth val="182"/>
        <c:axId val="567932863"/>
        <c:axId val="430580367"/>
      </c:barChart>
      <c:catAx>
        <c:axId val="5679328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580367"/>
        <c:crosses val="autoZero"/>
        <c:auto val="1"/>
        <c:lblAlgn val="ctr"/>
        <c:lblOffset val="100"/>
        <c:noMultiLvlLbl val="0"/>
      </c:catAx>
      <c:valAx>
        <c:axId val="430580367"/>
        <c:scaling>
          <c:orientation val="minMax"/>
          <c:max val="6.0000000000000012E-2"/>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93286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34121806649168857"/>
                  <c:y val="-0.1366914501540965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strRef>
              <c:f>'Consumption Forecasts'!$B$82:$T$82</c:f>
              <c:strCache>
                <c:ptCount val="19"/>
                <c:pt idx="3">
                  <c:v>Year Number for Curve Fitting Purposes:</c:v>
                </c:pt>
                <c:pt idx="8">
                  <c:v>1</c:v>
                </c:pt>
                <c:pt idx="9">
                  <c:v>2</c:v>
                </c:pt>
                <c:pt idx="10">
                  <c:v>3</c:v>
                </c:pt>
                <c:pt idx="11">
                  <c:v>4</c:v>
                </c:pt>
                <c:pt idx="12">
                  <c:v>5</c:v>
                </c:pt>
                <c:pt idx="13">
                  <c:v>6</c:v>
                </c:pt>
                <c:pt idx="14">
                  <c:v>7</c:v>
                </c:pt>
                <c:pt idx="15">
                  <c:v>8</c:v>
                </c:pt>
                <c:pt idx="16">
                  <c:v>9</c:v>
                </c:pt>
                <c:pt idx="17">
                  <c:v>10</c:v>
                </c:pt>
                <c:pt idx="18">
                  <c:v>11</c:v>
                </c:pt>
              </c:strCache>
            </c:strRef>
          </c:xVal>
          <c:yVal>
            <c:numRef>
              <c:f>'Consumption Forecasts'!$B$83:$T$83</c:f>
              <c:numCache>
                <c:formatCode>#,##0</c:formatCode>
                <c:ptCount val="19"/>
                <c:pt idx="8">
                  <c:v>5353.2657847514802</c:v>
                </c:pt>
                <c:pt idx="9">
                  <c:v>5284.2223348832167</c:v>
                </c:pt>
                <c:pt idx="10">
                  <c:v>5223.048719333784</c:v>
                </c:pt>
                <c:pt idx="11">
                  <c:v>5167.5012776252242</c:v>
                </c:pt>
                <c:pt idx="12">
                  <c:v>5114.7631789781017</c:v>
                </c:pt>
                <c:pt idx="13">
                  <c:v>5065.4196584142637</c:v>
                </c:pt>
                <c:pt idx="14">
                  <c:v>5019.6522684211077</c:v>
                </c:pt>
                <c:pt idx="15">
                  <c:v>4977.6898049712545</c:v>
                </c:pt>
                <c:pt idx="16">
                  <c:v>4939.7070636960007</c:v>
                </c:pt>
                <c:pt idx="17">
                  <c:v>4904.9919747693884</c:v>
                </c:pt>
                <c:pt idx="18">
                  <c:v>4872.9795130710691</c:v>
                </c:pt>
              </c:numCache>
            </c:numRef>
          </c:yVal>
          <c:smooth val="0"/>
          <c:extLst>
            <c:ext xmlns:c16="http://schemas.microsoft.com/office/drawing/2014/chart" uri="{C3380CC4-5D6E-409C-BE32-E72D297353CC}">
              <c16:uniqueId val="{00000000-3727-4C78-BA34-8B9474FBEFAD}"/>
            </c:ext>
          </c:extLst>
        </c:ser>
        <c:dLbls>
          <c:showLegendKey val="0"/>
          <c:showVal val="0"/>
          <c:showCatName val="0"/>
          <c:showSerName val="0"/>
          <c:showPercent val="0"/>
          <c:showBubbleSize val="0"/>
        </c:dLbls>
        <c:axId val="495316335"/>
        <c:axId val="1074773807"/>
      </c:scatterChart>
      <c:valAx>
        <c:axId val="49531633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773807"/>
        <c:crosses val="autoZero"/>
        <c:crossBetween val="midCat"/>
      </c:valAx>
      <c:valAx>
        <c:axId val="1074773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5316335"/>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20175328083989502"/>
                  <c:y val="-2.561177077015277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'Consumption Forecasts'!$J$103:$T$103</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xVal>
          <c:yVal>
            <c:numRef>
              <c:f>'Consumption Forecasts'!$J$105:$T$105</c:f>
              <c:numCache>
                <c:formatCode>#,##0</c:formatCode>
                <c:ptCount val="11"/>
                <c:pt idx="0">
                  <c:v>7720.5313559925753</c:v>
                </c:pt>
                <c:pt idx="1">
                  <c:v>7694.5679451923252</c:v>
                </c:pt>
                <c:pt idx="2">
                  <c:v>7668.9693598365757</c:v>
                </c:pt>
                <c:pt idx="3">
                  <c:v>7643.6084637855738</c:v>
                </c:pt>
                <c:pt idx="4">
                  <c:v>7619.2211265438555</c:v>
                </c:pt>
                <c:pt idx="5">
                  <c:v>7595.5178370105741</c:v>
                </c:pt>
                <c:pt idx="6">
                  <c:v>7572.0943851761976</c:v>
                </c:pt>
                <c:pt idx="7">
                  <c:v>7549.241664056136</c:v>
                </c:pt>
                <c:pt idx="8">
                  <c:v>7527.1621241337916</c:v>
                </c:pt>
                <c:pt idx="9">
                  <c:v>7505.5904378131654</c:v>
                </c:pt>
                <c:pt idx="10">
                  <c:v>7484.4955120166032</c:v>
                </c:pt>
              </c:numCache>
            </c:numRef>
          </c:yVal>
          <c:smooth val="0"/>
          <c:extLst>
            <c:ext xmlns:c16="http://schemas.microsoft.com/office/drawing/2014/chart" uri="{C3380CC4-5D6E-409C-BE32-E72D297353CC}">
              <c16:uniqueId val="{00000000-BE19-4F51-9172-16612CEC7D3E}"/>
            </c:ext>
          </c:extLst>
        </c:ser>
        <c:dLbls>
          <c:showLegendKey val="0"/>
          <c:showVal val="0"/>
          <c:showCatName val="0"/>
          <c:showSerName val="0"/>
          <c:showPercent val="0"/>
          <c:showBubbleSize val="0"/>
        </c:dLbls>
        <c:axId val="324538895"/>
        <c:axId val="1074782127"/>
      </c:scatterChart>
      <c:valAx>
        <c:axId val="3245388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782127"/>
        <c:crosses val="autoZero"/>
        <c:crossBetween val="midCat"/>
      </c:valAx>
      <c:valAx>
        <c:axId val="10747821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4538895"/>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yVal>
            <c:numRef>
              <c:f>'Consumption Forecasts'!$L$125:$T$125</c:f>
              <c:numCache>
                <c:formatCode>#,##0</c:formatCode>
                <c:ptCount val="9"/>
                <c:pt idx="0">
                  <c:v>1956.0203225409132</c:v>
                </c:pt>
                <c:pt idx="1">
                  <c:v>1937.0775739707433</c:v>
                </c:pt>
                <c:pt idx="2">
                  <c:v>1921.1832672391752</c:v>
                </c:pt>
                <c:pt idx="3">
                  <c:v>1909.9874462146777</c:v>
                </c:pt>
                <c:pt idx="4">
                  <c:v>1904.8833408272983</c:v>
                </c:pt>
                <c:pt idx="5">
                  <c:v>1905.2926311593444</c:v>
                </c:pt>
                <c:pt idx="6">
                  <c:v>1910.9664779590287</c:v>
                </c:pt>
                <c:pt idx="7">
                  <c:v>1921.3266949845859</c:v>
                </c:pt>
                <c:pt idx="8">
                  <c:v>1935.3641054433483</c:v>
                </c:pt>
              </c:numCache>
            </c:numRef>
          </c:yVal>
          <c:smooth val="0"/>
          <c:extLst>
            <c:ext xmlns:c16="http://schemas.microsoft.com/office/drawing/2014/chart" uri="{C3380CC4-5D6E-409C-BE32-E72D297353CC}">
              <c16:uniqueId val="{00000000-FE1E-46A6-A19B-3F61B9D0D7DE}"/>
            </c:ext>
          </c:extLst>
        </c:ser>
        <c:dLbls>
          <c:showLegendKey val="0"/>
          <c:showVal val="0"/>
          <c:showCatName val="0"/>
          <c:showSerName val="0"/>
          <c:showPercent val="0"/>
          <c:showBubbleSize val="0"/>
        </c:dLbls>
        <c:axId val="29613903"/>
        <c:axId val="618235759"/>
      </c:scatterChart>
      <c:valAx>
        <c:axId val="29613903"/>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235759"/>
        <c:crosses val="autoZero"/>
        <c:crossBetween val="midCat"/>
      </c:valAx>
      <c:valAx>
        <c:axId val="6182357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613903"/>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32517804024496938"/>
                  <c:y val="-5.411967701396611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yVal>
            <c:numRef>
              <c:f>'Consumption Forecasts'!$J$146:$T$146</c:f>
              <c:numCache>
                <c:formatCode>#,##0</c:formatCode>
                <c:ptCount val="11"/>
                <c:pt idx="1">
                  <c:v>315.64469754865024</c:v>
                </c:pt>
                <c:pt idx="2">
                  <c:v>313.21866474427662</c:v>
                </c:pt>
                <c:pt idx="3">
                  <c:v>311.11231082146759</c:v>
                </c:pt>
                <c:pt idx="4">
                  <c:v>309.15006376969114</c:v>
                </c:pt>
                <c:pt idx="5">
                  <c:v>307.37296946803474</c:v>
                </c:pt>
                <c:pt idx="6">
                  <c:v>305.80572108583641</c:v>
                </c:pt>
                <c:pt idx="7">
                  <c:v>304.44708180641999</c:v>
                </c:pt>
                <c:pt idx="8">
                  <c:v>303.29976036645917</c:v>
                </c:pt>
                <c:pt idx="9">
                  <c:v>302.33094180246366</c:v>
                </c:pt>
                <c:pt idx="10">
                  <c:v>301.50676249286323</c:v>
                </c:pt>
              </c:numCache>
            </c:numRef>
          </c:yVal>
          <c:smooth val="0"/>
          <c:extLst>
            <c:ext xmlns:c16="http://schemas.microsoft.com/office/drawing/2014/chart" uri="{C3380CC4-5D6E-409C-BE32-E72D297353CC}">
              <c16:uniqueId val="{00000000-964F-4AE4-9CB9-63BFCEA04350}"/>
            </c:ext>
          </c:extLst>
        </c:ser>
        <c:dLbls>
          <c:showLegendKey val="0"/>
          <c:showVal val="0"/>
          <c:showCatName val="0"/>
          <c:showSerName val="0"/>
          <c:showPercent val="0"/>
          <c:showBubbleSize val="0"/>
        </c:dLbls>
        <c:axId val="1069015887"/>
        <c:axId val="1074816655"/>
      </c:scatterChart>
      <c:valAx>
        <c:axId val="1069015887"/>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816655"/>
        <c:crosses val="autoZero"/>
        <c:crossBetween val="midCat"/>
      </c:valAx>
      <c:valAx>
        <c:axId val="1074816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015887"/>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34824015748031495"/>
                  <c:y val="-2.771390893719947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yVal>
            <c:numRef>
              <c:f>'Consumption Forecasts'!$B$166:$T$166</c:f>
              <c:numCache>
                <c:formatCode>#,##0</c:formatCode>
                <c:ptCount val="19"/>
                <c:pt idx="9">
                  <c:v>61.986393767320457</c:v>
                </c:pt>
                <c:pt idx="10">
                  <c:v>61.509968768350987</c:v>
                </c:pt>
                <c:pt idx="11">
                  <c:v>61.096322397331384</c:v>
                </c:pt>
                <c:pt idx="12">
                  <c:v>60.710975773849981</c:v>
                </c:pt>
                <c:pt idx="13">
                  <c:v>60.361989499093511</c:v>
                </c:pt>
                <c:pt idx="14">
                  <c:v>60.054212824545786</c:v>
                </c:pt>
                <c:pt idx="15">
                  <c:v>59.787402863802903</c:v>
                </c:pt>
                <c:pt idx="16">
                  <c:v>59.56209155932855</c:v>
                </c:pt>
                <c:pt idx="17">
                  <c:v>59.371834699437358</c:v>
                </c:pt>
                <c:pt idx="18">
                  <c:v>59.209982136677624</c:v>
                </c:pt>
              </c:numCache>
            </c:numRef>
          </c:yVal>
          <c:smooth val="0"/>
          <c:extLst>
            <c:ext xmlns:c16="http://schemas.microsoft.com/office/drawing/2014/chart" uri="{C3380CC4-5D6E-409C-BE32-E72D297353CC}">
              <c16:uniqueId val="{00000000-8026-4D85-9C03-0D24313014D2}"/>
            </c:ext>
          </c:extLst>
        </c:ser>
        <c:dLbls>
          <c:showLegendKey val="0"/>
          <c:showVal val="0"/>
          <c:showCatName val="0"/>
          <c:showSerName val="0"/>
          <c:showPercent val="0"/>
          <c:showBubbleSize val="0"/>
        </c:dLbls>
        <c:axId val="683891439"/>
        <c:axId val="1074822479"/>
      </c:scatterChart>
      <c:valAx>
        <c:axId val="683891439"/>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4822479"/>
        <c:crosses val="autoZero"/>
        <c:crossBetween val="midCat"/>
      </c:valAx>
      <c:valAx>
        <c:axId val="10748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89143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none"/>
          </c:marker>
          <c:trendline>
            <c:spPr>
              <a:ln w="19050" cap="rnd">
                <a:solidFill>
                  <a:schemeClr val="accent1"/>
                </a:solidFill>
                <a:prstDash val="sysDot"/>
              </a:ln>
              <a:effectLst/>
            </c:spPr>
            <c:trendlineType val="poly"/>
            <c:order val="2"/>
            <c:dispRSqr val="1"/>
            <c:dispEq val="1"/>
            <c:trendlineLbl>
              <c:layout>
                <c:manualLayout>
                  <c:x val="-0.16415026246719161"/>
                  <c:y val="0.1372285726271707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yVal>
            <c:numRef>
              <c:f>'Consumption Forecasts'!$AI$41:$AS$41</c:f>
              <c:numCache>
                <c:formatCode>0</c:formatCode>
                <c:ptCount val="11"/>
                <c:pt idx="0">
                  <c:v>15320</c:v>
                </c:pt>
                <c:pt idx="1">
                  <c:v>14839</c:v>
                </c:pt>
                <c:pt idx="2">
                  <c:v>14390</c:v>
                </c:pt>
                <c:pt idx="3">
                  <c:v>13958</c:v>
                </c:pt>
                <c:pt idx="4">
                  <c:v>13533</c:v>
                </c:pt>
                <c:pt idx="5">
                  <c:v>13118</c:v>
                </c:pt>
                <c:pt idx="6">
                  <c:v>12713</c:v>
                </c:pt>
                <c:pt idx="7">
                  <c:v>12377</c:v>
                </c:pt>
                <c:pt idx="8">
                  <c:v>12052</c:v>
                </c:pt>
                <c:pt idx="9">
                  <c:v>11737</c:v>
                </c:pt>
                <c:pt idx="10">
                  <c:v>11429</c:v>
                </c:pt>
              </c:numCache>
            </c:numRef>
          </c:yVal>
          <c:smooth val="1"/>
          <c:extLst>
            <c:ext xmlns:c16="http://schemas.microsoft.com/office/drawing/2014/chart" uri="{C3380CC4-5D6E-409C-BE32-E72D297353CC}">
              <c16:uniqueId val="{00000000-FB75-4D96-9A9E-1FA0A99A760F}"/>
            </c:ext>
          </c:extLst>
        </c:ser>
        <c:dLbls>
          <c:showLegendKey val="0"/>
          <c:showVal val="0"/>
          <c:showCatName val="0"/>
          <c:showSerName val="0"/>
          <c:showPercent val="0"/>
          <c:showBubbleSize val="0"/>
        </c:dLbls>
        <c:axId val="828379456"/>
        <c:axId val="834771152"/>
      </c:scatterChart>
      <c:valAx>
        <c:axId val="828379456"/>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771152"/>
        <c:crosses val="autoZero"/>
        <c:crossBetween val="midCat"/>
      </c:valAx>
      <c:valAx>
        <c:axId val="834771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837945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1"/>
            <c:dispEq val="1"/>
            <c:trendlineLbl>
              <c:layout>
                <c:manualLayout>
                  <c:x val="-1.699475065616798E-4"/>
                  <c:y val="-0.3358001961654584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'Consumption Forecasts'!$M$63:$T$63</c:f>
              <c:numCache>
                <c:formatCode>General</c:formatCode>
                <c:ptCount val="8"/>
                <c:pt idx="0">
                  <c:v>0</c:v>
                </c:pt>
                <c:pt idx="1">
                  <c:v>1</c:v>
                </c:pt>
                <c:pt idx="2">
                  <c:v>2</c:v>
                </c:pt>
                <c:pt idx="3">
                  <c:v>3</c:v>
                </c:pt>
                <c:pt idx="4">
                  <c:v>4</c:v>
                </c:pt>
                <c:pt idx="5">
                  <c:v>5</c:v>
                </c:pt>
                <c:pt idx="6">
                  <c:v>6</c:v>
                </c:pt>
                <c:pt idx="7">
                  <c:v>7</c:v>
                </c:pt>
              </c:numCache>
            </c:numRef>
          </c:xVal>
          <c:yVal>
            <c:numRef>
              <c:f>'Consumption Forecasts'!$M$65:$T$65</c:f>
              <c:numCache>
                <c:formatCode>General</c:formatCode>
                <c:ptCount val="8"/>
                <c:pt idx="0">
                  <c:v>2644</c:v>
                </c:pt>
                <c:pt idx="1">
                  <c:v>2609</c:v>
                </c:pt>
                <c:pt idx="2">
                  <c:v>2575</c:v>
                </c:pt>
                <c:pt idx="3">
                  <c:v>2541</c:v>
                </c:pt>
                <c:pt idx="4">
                  <c:v>2508</c:v>
                </c:pt>
                <c:pt idx="5">
                  <c:v>2476</c:v>
                </c:pt>
                <c:pt idx="6">
                  <c:v>2445</c:v>
                </c:pt>
                <c:pt idx="7">
                  <c:v>2414</c:v>
                </c:pt>
              </c:numCache>
            </c:numRef>
          </c:yVal>
          <c:smooth val="0"/>
          <c:extLst>
            <c:ext xmlns:c16="http://schemas.microsoft.com/office/drawing/2014/chart" uri="{C3380CC4-5D6E-409C-BE32-E72D297353CC}">
              <c16:uniqueId val="{00000000-1357-43AE-A99B-9CECF44E110C}"/>
            </c:ext>
          </c:extLst>
        </c:ser>
        <c:dLbls>
          <c:showLegendKey val="0"/>
          <c:showVal val="0"/>
          <c:showCatName val="0"/>
          <c:showSerName val="0"/>
          <c:showPercent val="0"/>
          <c:showBubbleSize val="0"/>
        </c:dLbls>
        <c:axId val="1677042479"/>
        <c:axId val="1480671503"/>
      </c:scatterChart>
      <c:valAx>
        <c:axId val="16770424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0671503"/>
        <c:crosses val="autoZero"/>
        <c:crossBetween val="midCat"/>
      </c:valAx>
      <c:valAx>
        <c:axId val="14806715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704247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1"/>
            <c:dispEq val="1"/>
            <c:trendlineLbl>
              <c:layout>
                <c:manualLayout>
                  <c:x val="-0.16156430446194225"/>
                  <c:y val="-6.769901328397928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'Consumption Forecasts'!$P$184:$T$184</c:f>
              <c:numCache>
                <c:formatCode>General</c:formatCode>
                <c:ptCount val="5"/>
                <c:pt idx="0">
                  <c:v>1</c:v>
                </c:pt>
                <c:pt idx="1">
                  <c:v>2</c:v>
                </c:pt>
                <c:pt idx="2">
                  <c:v>3</c:v>
                </c:pt>
                <c:pt idx="3">
                  <c:v>4</c:v>
                </c:pt>
                <c:pt idx="4">
                  <c:v>5</c:v>
                </c:pt>
              </c:numCache>
            </c:numRef>
          </c:xVal>
          <c:yVal>
            <c:numRef>
              <c:f>'Consumption Forecasts'!$P$186:$T$186</c:f>
              <c:numCache>
                <c:formatCode>General</c:formatCode>
                <c:ptCount val="5"/>
                <c:pt idx="0">
                  <c:v>2541</c:v>
                </c:pt>
                <c:pt idx="1">
                  <c:v>2508</c:v>
                </c:pt>
                <c:pt idx="2">
                  <c:v>2476</c:v>
                </c:pt>
                <c:pt idx="3">
                  <c:v>2445</c:v>
                </c:pt>
                <c:pt idx="4">
                  <c:v>2414</c:v>
                </c:pt>
              </c:numCache>
            </c:numRef>
          </c:yVal>
          <c:smooth val="0"/>
          <c:extLst>
            <c:ext xmlns:c16="http://schemas.microsoft.com/office/drawing/2014/chart" uri="{C3380CC4-5D6E-409C-BE32-E72D297353CC}">
              <c16:uniqueId val="{00000000-1A14-4E1D-BE0B-E7903F1557C7}"/>
            </c:ext>
          </c:extLst>
        </c:ser>
        <c:dLbls>
          <c:showLegendKey val="0"/>
          <c:showVal val="0"/>
          <c:showCatName val="0"/>
          <c:showSerName val="0"/>
          <c:showPercent val="0"/>
          <c:showBubbleSize val="0"/>
        </c:dLbls>
        <c:axId val="1699323215"/>
        <c:axId val="309268880"/>
      </c:scatterChart>
      <c:valAx>
        <c:axId val="16993232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9268880"/>
        <c:crosses val="autoZero"/>
        <c:crossBetween val="midCat"/>
      </c:valAx>
      <c:valAx>
        <c:axId val="309268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9323215"/>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'Consumption Forecasts'!$BC$3:$BW$3</c:f>
              <c:numCache>
                <c:formatCode>0%</c:formatCode>
                <c:ptCount val="21"/>
                <c:pt idx="0">
                  <c:v>0.01</c:v>
                </c:pt>
                <c:pt idx="1">
                  <c:v>0.03</c:v>
                </c:pt>
                <c:pt idx="2">
                  <c:v>0.06</c:v>
                </c:pt>
                <c:pt idx="3">
                  <c:v>0.1</c:v>
                </c:pt>
                <c:pt idx="4">
                  <c:v>0.15</c:v>
                </c:pt>
                <c:pt idx="5">
                  <c:v>0.21</c:v>
                </c:pt>
                <c:pt idx="6">
                  <c:v>0.28000000000000003</c:v>
                </c:pt>
                <c:pt idx="7">
                  <c:v>0.36</c:v>
                </c:pt>
                <c:pt idx="8">
                  <c:v>0.45</c:v>
                </c:pt>
                <c:pt idx="9">
                  <c:v>0.55000000000000004</c:v>
                </c:pt>
                <c:pt idx="10">
                  <c:v>0.64</c:v>
                </c:pt>
                <c:pt idx="11">
                  <c:v>0.72</c:v>
                </c:pt>
                <c:pt idx="12">
                  <c:v>0.79</c:v>
                </c:pt>
                <c:pt idx="13">
                  <c:v>0.85</c:v>
                </c:pt>
                <c:pt idx="14">
                  <c:v>0.9</c:v>
                </c:pt>
                <c:pt idx="15">
                  <c:v>0.94</c:v>
                </c:pt>
                <c:pt idx="16">
                  <c:v>0.97</c:v>
                </c:pt>
                <c:pt idx="17">
                  <c:v>0.99</c:v>
                </c:pt>
                <c:pt idx="18">
                  <c:v>1</c:v>
                </c:pt>
                <c:pt idx="19">
                  <c:v>1</c:v>
                </c:pt>
                <c:pt idx="20">
                  <c:v>1</c:v>
                </c:pt>
              </c:numCache>
            </c:numRef>
          </c:val>
          <c:smooth val="0"/>
          <c:extLst>
            <c:ext xmlns:c16="http://schemas.microsoft.com/office/drawing/2014/chart" uri="{C3380CC4-5D6E-409C-BE32-E72D297353CC}">
              <c16:uniqueId val="{00000000-ED9B-46B5-AABA-3589A24565CD}"/>
            </c:ext>
          </c:extLst>
        </c:ser>
        <c:dLbls>
          <c:showLegendKey val="0"/>
          <c:showVal val="0"/>
          <c:showCatName val="0"/>
          <c:showSerName val="0"/>
          <c:showPercent val="0"/>
          <c:showBubbleSize val="0"/>
        </c:dLbls>
        <c:smooth val="0"/>
        <c:axId val="1091958744"/>
        <c:axId val="1091963336"/>
      </c:lineChart>
      <c:catAx>
        <c:axId val="10919587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1963336"/>
        <c:crosses val="autoZero"/>
        <c:auto val="1"/>
        <c:lblAlgn val="ctr"/>
        <c:lblOffset val="100"/>
        <c:noMultiLvlLbl val="0"/>
      </c:catAx>
      <c:valAx>
        <c:axId val="1091963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195874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r>
              <a:rPr lang="en-US" sz="1200" b="1" i="0">
                <a:latin typeface="Arial" panose="020B0604020202020204" pitchFamily="34" charset="0"/>
                <a:cs typeface="Arial" panose="020B0604020202020204" pitchFamily="34" charset="0"/>
              </a:rPr>
              <a:t>Fig</a:t>
            </a:r>
            <a:r>
              <a:rPr lang="en-US" sz="1200" b="1" i="0" baseline="0">
                <a:latin typeface="Arial" panose="020B0604020202020204" pitchFamily="34" charset="0"/>
                <a:cs typeface="Arial" panose="020B0604020202020204" pitchFamily="34" charset="0"/>
              </a:rPr>
              <a:t> 2. </a:t>
            </a:r>
            <a:r>
              <a:rPr lang="en-US" sz="1200" b="1" i="0">
                <a:latin typeface="Arial" panose="020B0604020202020204" pitchFamily="34" charset="0"/>
                <a:cs typeface="Arial" panose="020B0604020202020204" pitchFamily="34" charset="0"/>
              </a:rPr>
              <a:t>Electricity Consumption</a:t>
            </a:r>
            <a:r>
              <a:rPr lang="en-US" sz="1200" b="1" i="0" baseline="0">
                <a:latin typeface="Arial" panose="020B0604020202020204" pitchFamily="34" charset="0"/>
                <a:cs typeface="Arial" panose="020B0604020202020204" pitchFamily="34" charset="0"/>
              </a:rPr>
              <a:t> Forecasts (GWh)</a:t>
            </a:r>
            <a:endParaRPr lang="en-US" sz="1200" b="1" i="0">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1"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036112172947877E-2"/>
          <c:y val="0.12491719356048331"/>
          <c:w val="0.70878364415148476"/>
          <c:h val="0.79695224567881651"/>
        </c:manualLayout>
      </c:layout>
      <c:scatterChart>
        <c:scatterStyle val="smoothMarker"/>
        <c:varyColors val="0"/>
        <c:ser>
          <c:idx val="0"/>
          <c:order val="0"/>
          <c:tx>
            <c:v>All Sectors BAU</c:v>
          </c:tx>
          <c:spPr>
            <a:ln w="19050" cap="rnd">
              <a:solidFill>
                <a:schemeClr val="tx1"/>
              </a:solidFill>
              <a:round/>
            </a:ln>
            <a:effectLst/>
          </c:spPr>
          <c:marker>
            <c:symbol val="none"/>
          </c:marker>
          <c:xVal>
            <c:numRef>
              <c:f>'Consumption Forecasts'!$B$2:$V$2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Forecasts'!$B$13:$V$13</c:f>
              <c:numCache>
                <c:formatCode>#,##0</c:formatCode>
                <c:ptCount val="21"/>
                <c:pt idx="0">
                  <c:v>18351</c:v>
                </c:pt>
                <c:pt idx="1">
                  <c:v>18414.999999999996</c:v>
                </c:pt>
                <c:pt idx="2">
                  <c:v>18469</c:v>
                </c:pt>
                <c:pt idx="3">
                  <c:v>18545</c:v>
                </c:pt>
                <c:pt idx="4">
                  <c:v>18612.999999999996</c:v>
                </c:pt>
                <c:pt idx="5">
                  <c:v>18665</c:v>
                </c:pt>
                <c:pt idx="6">
                  <c:v>18689</c:v>
                </c:pt>
                <c:pt idx="7">
                  <c:v>18689.999999999996</c:v>
                </c:pt>
                <c:pt idx="8">
                  <c:v>18642</c:v>
                </c:pt>
                <c:pt idx="9">
                  <c:v>18565</c:v>
                </c:pt>
                <c:pt idx="10">
                  <c:v>18397</c:v>
                </c:pt>
                <c:pt idx="11">
                  <c:v>18261</c:v>
                </c:pt>
                <c:pt idx="12">
                  <c:v>18143.999999999996</c:v>
                </c:pt>
                <c:pt idx="13">
                  <c:v>18034</c:v>
                </c:pt>
                <c:pt idx="14">
                  <c:v>17935.000000000004</c:v>
                </c:pt>
                <c:pt idx="15">
                  <c:v>17848</c:v>
                </c:pt>
                <c:pt idx="16">
                  <c:v>17772.000000000004</c:v>
                </c:pt>
                <c:pt idx="17">
                  <c:v>17708</c:v>
                </c:pt>
                <c:pt idx="18">
                  <c:v>17654</c:v>
                </c:pt>
                <c:pt idx="19">
                  <c:v>17608</c:v>
                </c:pt>
                <c:pt idx="20">
                  <c:v>17585.400000000001</c:v>
                </c:pt>
              </c:numCache>
            </c:numRef>
          </c:yVal>
          <c:smooth val="1"/>
          <c:extLst>
            <c:ext xmlns:c16="http://schemas.microsoft.com/office/drawing/2014/chart" uri="{C3380CC4-5D6E-409C-BE32-E72D297353CC}">
              <c16:uniqueId val="{00000000-A727-482E-AC76-07390B19304B}"/>
            </c:ext>
          </c:extLst>
        </c:ser>
        <c:ser>
          <c:idx val="2"/>
          <c:order val="1"/>
          <c:tx>
            <c:v>All Sectors EE</c:v>
          </c:tx>
          <c:spPr>
            <a:ln w="19050" cap="rnd">
              <a:solidFill>
                <a:schemeClr val="tx1"/>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Forecasts'!$AA$13:$AU$13</c:f>
              <c:numCache>
                <c:formatCode>0</c:formatCode>
                <c:ptCount val="21"/>
                <c:pt idx="0">
                  <c:v>18351</c:v>
                </c:pt>
                <c:pt idx="1">
                  <c:v>16702.631941663258</c:v>
                </c:pt>
                <c:pt idx="2">
                  <c:v>15738.398440149722</c:v>
                </c:pt>
                <c:pt idx="3">
                  <c:v>15054.263883326515</c:v>
                </c:pt>
                <c:pt idx="4">
                  <c:v>14523.607894632989</c:v>
                </c:pt>
                <c:pt idx="5">
                  <c:v>14090.03038181298</c:v>
                </c:pt>
                <c:pt idx="6">
                  <c:v>13723.445818065817</c:v>
                </c:pt>
                <c:pt idx="7">
                  <c:v>13405.895824989777</c:v>
                </c:pt>
                <c:pt idx="8">
                  <c:v>13125.796880299446</c:v>
                </c:pt>
                <c:pt idx="9">
                  <c:v>12875.23983629625</c:v>
                </c:pt>
                <c:pt idx="10">
                  <c:v>12648.583419838109</c:v>
                </c:pt>
                <c:pt idx="11">
                  <c:v>12441.662323476243</c:v>
                </c:pt>
                <c:pt idx="12">
                  <c:v>12251.313366815612</c:v>
                </c:pt>
                <c:pt idx="13">
                  <c:v>12075.077759729078</c:v>
                </c:pt>
                <c:pt idx="14">
                  <c:v>11911.006334782714</c:v>
                </c:pt>
                <c:pt idx="15">
                  <c:v>11757.527766653036</c:v>
                </c:pt>
                <c:pt idx="16">
                  <c:v>11613.356812844602</c:v>
                </c:pt>
                <c:pt idx="17">
                  <c:v>11477.428821962707</c:v>
                </c:pt>
                <c:pt idx="18">
                  <c:v>11348.851972709779</c:v>
                </c:pt>
                <c:pt idx="19">
                  <c:v>11226.87177795951</c:v>
                </c:pt>
                <c:pt idx="20">
                  <c:v>11110.844258215539</c:v>
                </c:pt>
              </c:numCache>
            </c:numRef>
          </c:yVal>
          <c:smooth val="1"/>
          <c:extLst>
            <c:ext xmlns:c16="http://schemas.microsoft.com/office/drawing/2014/chart" uri="{C3380CC4-5D6E-409C-BE32-E72D297353CC}">
              <c16:uniqueId val="{00000001-A727-482E-AC76-07390B19304B}"/>
            </c:ext>
          </c:extLst>
        </c:ser>
        <c:ser>
          <c:idx val="6"/>
          <c:order val="2"/>
          <c:tx>
            <c:v>Commercial BAU</c:v>
          </c:tx>
          <c:spPr>
            <a:ln w="19050" cap="rnd">
              <a:solidFill>
                <a:schemeClr val="accent2">
                  <a:lumMod val="75000"/>
                </a:schemeClr>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Forecasts'!$B$5:$V$5</c:f>
              <c:numCache>
                <c:formatCode>#,##0</c:formatCode>
                <c:ptCount val="21"/>
                <c:pt idx="0">
                  <c:v>9497.1742721705814</c:v>
                </c:pt>
                <c:pt idx="1">
                  <c:v>9464.4542555829921</c:v>
                </c:pt>
                <c:pt idx="2">
                  <c:v>9414.9636763390772</c:v>
                </c:pt>
                <c:pt idx="3">
                  <c:v>9380.8953507643473</c:v>
                </c:pt>
                <c:pt idx="4">
                  <c:v>9354.523328363457</c:v>
                </c:pt>
                <c:pt idx="5">
                  <c:v>9335.8812479357166</c:v>
                </c:pt>
                <c:pt idx="6">
                  <c:v>9315.5509759371707</c:v>
                </c:pt>
                <c:pt idx="7">
                  <c:v>9308.9128383411862</c:v>
                </c:pt>
                <c:pt idx="8">
                  <c:v>9293.0553265599374</c:v>
                </c:pt>
                <c:pt idx="9">
                  <c:v>9311.8233183032207</c:v>
                </c:pt>
                <c:pt idx="10">
                  <c:v>9268.0935723745279</c:v>
                </c:pt>
                <c:pt idx="11">
                  <c:v>9231.2353877286496</c:v>
                </c:pt>
                <c:pt idx="12">
                  <c:v>9200.8575615488771</c:v>
                </c:pt>
                <c:pt idx="13">
                  <c:v>9169.3344372266056</c:v>
                </c:pt>
                <c:pt idx="14">
                  <c:v>9137.467103626097</c:v>
                </c:pt>
                <c:pt idx="15">
                  <c:v>9106.1563445978099</c:v>
                </c:pt>
                <c:pt idx="16">
                  <c:v>9075.0607363962663</c:v>
                </c:pt>
                <c:pt idx="17">
                  <c:v>9045.3590663366303</c:v>
                </c:pt>
                <c:pt idx="18">
                  <c:v>9017.0116314988518</c:v>
                </c:pt>
                <c:pt idx="19">
                  <c:v>8984.8063103417826</c:v>
                </c:pt>
                <c:pt idx="20">
                  <c:v>8960.3101268901337</c:v>
                </c:pt>
              </c:numCache>
            </c:numRef>
          </c:yVal>
          <c:smooth val="1"/>
          <c:extLst>
            <c:ext xmlns:c16="http://schemas.microsoft.com/office/drawing/2014/chart" uri="{C3380CC4-5D6E-409C-BE32-E72D297353CC}">
              <c16:uniqueId val="{00000002-A727-482E-AC76-07390B19304B}"/>
            </c:ext>
          </c:extLst>
        </c:ser>
        <c:ser>
          <c:idx val="7"/>
          <c:order val="3"/>
          <c:tx>
            <c:v>Commercial EE</c:v>
          </c:tx>
          <c:spPr>
            <a:ln w="19050" cap="rnd">
              <a:solidFill>
                <a:schemeClr val="accent2">
                  <a:lumMod val="75000"/>
                </a:schemeClr>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Forecasts'!$AA$5:$AU$5</c:f>
              <c:numCache>
                <c:formatCode>0</c:formatCode>
                <c:ptCount val="21"/>
                <c:pt idx="0">
                  <c:v>9497.1742721705814</c:v>
                </c:pt>
                <c:pt idx="1">
                  <c:v>8629.6066331792281</c:v>
                </c:pt>
                <c:pt idx="2">
                  <c:v>8122.1120975300973</c:v>
                </c:pt>
                <c:pt idx="3">
                  <c:v>7762.0389941878748</c:v>
                </c:pt>
                <c:pt idx="4">
                  <c:v>7482.7445969814617</c:v>
                </c:pt>
                <c:pt idx="5">
                  <c:v>7254.544458538744</c:v>
                </c:pt>
                <c:pt idx="6">
                  <c:v>7061.6039906303122</c:v>
                </c:pt>
                <c:pt idx="7">
                  <c:v>6894.4713551965215</c:v>
                </c:pt>
                <c:pt idx="8">
                  <c:v>6747.0499228896133</c:v>
                </c:pt>
                <c:pt idx="9">
                  <c:v>6615.1769579901083</c:v>
                </c:pt>
                <c:pt idx="10">
                  <c:v>6495.8833505373859</c:v>
                </c:pt>
                <c:pt idx="11">
                  <c:v>6386.9768195473907</c:v>
                </c:pt>
                <c:pt idx="12">
                  <c:v>6286.7925226730858</c:v>
                </c:pt>
                <c:pt idx="13">
                  <c:v>6194.0363516389589</c:v>
                </c:pt>
                <c:pt idx="14">
                  <c:v>6107.6824223409767</c:v>
                </c:pt>
                <c:pt idx="15">
                  <c:v>6026.9037162051691</c:v>
                </c:pt>
                <c:pt idx="16">
                  <c:v>5951.0237855221367</c:v>
                </c:pt>
                <c:pt idx="17">
                  <c:v>5879.48228389826</c:v>
                </c:pt>
                <c:pt idx="18">
                  <c:v>5811.8098287259209</c:v>
                </c:pt>
                <c:pt idx="19">
                  <c:v>5747.609318998755</c:v>
                </c:pt>
                <c:pt idx="20">
                  <c:v>5686.5418159898272</c:v>
                </c:pt>
              </c:numCache>
            </c:numRef>
          </c:yVal>
          <c:smooth val="1"/>
          <c:extLst>
            <c:ext xmlns:c16="http://schemas.microsoft.com/office/drawing/2014/chart" uri="{C3380CC4-5D6E-409C-BE32-E72D297353CC}">
              <c16:uniqueId val="{00000003-A727-482E-AC76-07390B19304B}"/>
            </c:ext>
          </c:extLst>
        </c:ser>
        <c:ser>
          <c:idx val="4"/>
          <c:order val="4"/>
          <c:tx>
            <c:v>Residential BAU</c:v>
          </c:tx>
          <c:spPr>
            <a:ln w="19050" cap="rnd">
              <a:solidFill>
                <a:schemeClr val="accent5">
                  <a:lumMod val="50000"/>
                </a:schemeClr>
              </a:solidFill>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Forecasts'!$B$3:$V$3</c:f>
              <c:numCache>
                <c:formatCode>#,##0</c:formatCode>
                <c:ptCount val="21"/>
                <c:pt idx="0">
                  <c:v>6548.8704746003232</c:v>
                </c:pt>
                <c:pt idx="1">
                  <c:v>6543.0670838536125</c:v>
                </c:pt>
                <c:pt idx="2">
                  <c:v>6533.4821559001857</c:v>
                </c:pt>
                <c:pt idx="3">
                  <c:v>6532.1742597750181</c:v>
                </c:pt>
                <c:pt idx="4">
                  <c:v>6530.1185113464207</c:v>
                </c:pt>
                <c:pt idx="5">
                  <c:v>6523.9394330959913</c:v>
                </c:pt>
                <c:pt idx="6">
                  <c:v>6507.6707612834625</c:v>
                </c:pt>
                <c:pt idx="7">
                  <c:v>6484.2397527818048</c:v>
                </c:pt>
                <c:pt idx="8">
                  <c:v>6443.6232199046653</c:v>
                </c:pt>
                <c:pt idx="9">
                  <c:v>6394.8677960285831</c:v>
                </c:pt>
                <c:pt idx="10">
                  <c:v>6312.1525191343326</c:v>
                </c:pt>
                <c:pt idx="11">
                  <c:v>6240.8247212236038</c:v>
                </c:pt>
                <c:pt idx="12">
                  <c:v>6176.5115737203123</c:v>
                </c:pt>
                <c:pt idx="13">
                  <c:v>6114.9914870297844</c:v>
                </c:pt>
                <c:pt idx="14">
                  <c:v>6057.360769846332</c:v>
                </c:pt>
                <c:pt idx="15">
                  <c:v>6004.2615690520533</c:v>
                </c:pt>
                <c:pt idx="16">
                  <c:v>5955.5169509791294</c:v>
                </c:pt>
                <c:pt idx="17">
                  <c:v>5911.248954614638</c:v>
                </c:pt>
                <c:pt idx="18">
                  <c:v>5870.7648202702221</c:v>
                </c:pt>
                <c:pt idx="19">
                  <c:v>5834.9349060977875</c:v>
                </c:pt>
                <c:pt idx="20">
                  <c:v>5806.9448509235799</c:v>
                </c:pt>
              </c:numCache>
            </c:numRef>
          </c:yVal>
          <c:smooth val="1"/>
          <c:extLst>
            <c:ext xmlns:c16="http://schemas.microsoft.com/office/drawing/2014/chart" uri="{C3380CC4-5D6E-409C-BE32-E72D297353CC}">
              <c16:uniqueId val="{00000004-A727-482E-AC76-07390B19304B}"/>
            </c:ext>
          </c:extLst>
        </c:ser>
        <c:ser>
          <c:idx val="5"/>
          <c:order val="5"/>
          <c:tx>
            <c:v>Residential EE</c:v>
          </c:tx>
          <c:spPr>
            <a:ln w="19050" cap="rnd">
              <a:solidFill>
                <a:schemeClr val="accent5">
                  <a:lumMod val="50000"/>
                </a:schemeClr>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Forecasts'!$AA$3:$AU$3</c:f>
              <c:numCache>
                <c:formatCode>0</c:formatCode>
                <c:ptCount val="21"/>
                <c:pt idx="0">
                  <c:v>6548.8704746003232</c:v>
                </c:pt>
                <c:pt idx="1">
                  <c:v>5796.5306896582133</c:v>
                </c:pt>
                <c:pt idx="2">
                  <c:v>5356.4401276664603</c:v>
                </c:pt>
                <c:pt idx="3">
                  <c:v>5044.1909047161034</c:v>
                </c:pt>
                <c:pt idx="4">
                  <c:v>4801.9915910417221</c:v>
                </c:pt>
                <c:pt idx="5">
                  <c:v>4604.1003427243504</c:v>
                </c:pt>
                <c:pt idx="6">
                  <c:v>4436.7856762833326</c:v>
                </c:pt>
                <c:pt idx="7">
                  <c:v>4291.8511197739936</c:v>
                </c:pt>
                <c:pt idx="8">
                  <c:v>4164.0097807325965</c:v>
                </c:pt>
                <c:pt idx="9">
                  <c:v>4049.6518060996127</c:v>
                </c:pt>
                <c:pt idx="10">
                  <c:v>3946.2024346128042</c:v>
                </c:pt>
                <c:pt idx="11">
                  <c:v>3851.7605577822405</c:v>
                </c:pt>
                <c:pt idx="12">
                  <c:v>3764.8824528628124</c:v>
                </c:pt>
                <c:pt idx="13">
                  <c:v>3684.4458913412227</c:v>
                </c:pt>
                <c:pt idx="14">
                  <c:v>3609.5612441078588</c:v>
                </c:pt>
                <c:pt idx="15">
                  <c:v>3539.5113348318841</c:v>
                </c:pt>
                <c:pt idx="16">
                  <c:v>3473.7095596551781</c:v>
                </c:pt>
                <c:pt idx="17">
                  <c:v>3411.6699957904871</c:v>
                </c:pt>
                <c:pt idx="18">
                  <c:v>3352.9856026865054</c:v>
                </c:pt>
                <c:pt idx="19">
                  <c:v>3297.3120211575024</c:v>
                </c:pt>
                <c:pt idx="20">
                  <c:v>3244.3553293494688</c:v>
                </c:pt>
              </c:numCache>
            </c:numRef>
          </c:yVal>
          <c:smooth val="1"/>
          <c:extLst>
            <c:ext xmlns:c16="http://schemas.microsoft.com/office/drawing/2014/chart" uri="{C3380CC4-5D6E-409C-BE32-E72D297353CC}">
              <c16:uniqueId val="{00000005-A727-482E-AC76-07390B19304B}"/>
            </c:ext>
          </c:extLst>
        </c:ser>
        <c:ser>
          <c:idx val="8"/>
          <c:order val="6"/>
          <c:tx>
            <c:v>Industrial BAU</c:v>
          </c:tx>
          <c:spPr>
            <a:ln w="19050" cap="rnd">
              <a:solidFill>
                <a:schemeClr val="bg2">
                  <a:lumMod val="75000"/>
                </a:schemeClr>
              </a:solidFill>
              <a:round/>
            </a:ln>
            <a:effectLst/>
          </c:spPr>
          <c:marker>
            <c:symbol val="none"/>
          </c:marker>
          <c:xVal>
            <c:numRef>
              <c:f>'Consumption Forecasts'!$B$2:$V$2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Forecasts'!$B$7:$V$7</c:f>
              <c:numCache>
                <c:formatCode>#,##0</c:formatCode>
                <c:ptCount val="21"/>
                <c:pt idx="0">
                  <c:v>1853.2210095348682</c:v>
                </c:pt>
                <c:pt idx="1">
                  <c:v>1954.1689718472956</c:v>
                </c:pt>
                <c:pt idx="2">
                  <c:v>2065.9151973074277</c:v>
                </c:pt>
                <c:pt idx="3">
                  <c:v>2175.4205780438515</c:v>
                </c:pt>
                <c:pt idx="4">
                  <c:v>2270.1744385375937</c:v>
                </c:pt>
                <c:pt idx="5">
                  <c:v>2345.7155481354957</c:v>
                </c:pt>
                <c:pt idx="6">
                  <c:v>2405.723700063365</c:v>
                </c:pt>
                <c:pt idx="7">
                  <c:v>2436.7682298325399</c:v>
                </c:pt>
                <c:pt idx="8">
                  <c:v>2446.4238582573348</c:v>
                </c:pt>
                <c:pt idx="9">
                  <c:v>2401.3067476820788</c:v>
                </c:pt>
                <c:pt idx="10">
                  <c:v>2363.8873136874427</c:v>
                </c:pt>
                <c:pt idx="11">
                  <c:v>2339.4211169155355</c:v>
                </c:pt>
                <c:pt idx="12">
                  <c:v>2319.9922010292112</c:v>
                </c:pt>
                <c:pt idx="13">
                  <c:v>2305.7432081733605</c:v>
                </c:pt>
                <c:pt idx="14">
                  <c:v>2298.6782754755368</c:v>
                </c:pt>
                <c:pt idx="15">
                  <c:v>2298.2298558747143</c:v>
                </c:pt>
                <c:pt idx="16">
                  <c:v>2303.9409231126579</c:v>
                </c:pt>
                <c:pt idx="17">
                  <c:v>2315.4860345586617</c:v>
                </c:pt>
                <c:pt idx="18">
                  <c:v>2331.6468854780614</c:v>
                </c:pt>
                <c:pt idx="19">
                  <c:v>2354.8481340444609</c:v>
                </c:pt>
                <c:pt idx="20">
                  <c:v>2385.3082098952568</c:v>
                </c:pt>
              </c:numCache>
            </c:numRef>
          </c:yVal>
          <c:smooth val="1"/>
          <c:extLst>
            <c:ext xmlns:c16="http://schemas.microsoft.com/office/drawing/2014/chart" uri="{C3380CC4-5D6E-409C-BE32-E72D297353CC}">
              <c16:uniqueId val="{00000006-A727-482E-AC76-07390B19304B}"/>
            </c:ext>
          </c:extLst>
        </c:ser>
        <c:ser>
          <c:idx val="9"/>
          <c:order val="7"/>
          <c:tx>
            <c:v>Industrial EE</c:v>
          </c:tx>
          <c:spPr>
            <a:ln w="19050" cap="rnd">
              <a:solidFill>
                <a:schemeClr val="bg2">
                  <a:lumMod val="75000"/>
                </a:schemeClr>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Forecasts'!$AA$7:$AU$7</c:f>
              <c:numCache>
                <c:formatCode>0</c:formatCode>
                <c:ptCount val="21"/>
                <c:pt idx="0">
                  <c:v>1853.2210095348682</c:v>
                </c:pt>
                <c:pt idx="1">
                  <c:v>1885.9530633764491</c:v>
                </c:pt>
                <c:pt idx="2">
                  <c:v>1905.1000874453598</c:v>
                </c:pt>
                <c:pt idx="3">
                  <c:v>1918.68511721803</c:v>
                </c:pt>
                <c:pt idx="4">
                  <c:v>1929.2224849530007</c:v>
                </c:pt>
                <c:pt idx="5">
                  <c:v>1937.8321412869407</c:v>
                </c:pt>
                <c:pt idx="6">
                  <c:v>1945.1115019960848</c:v>
                </c:pt>
                <c:pt idx="7">
                  <c:v>1951.4171710596108</c:v>
                </c:pt>
                <c:pt idx="8">
                  <c:v>1956.9791653558514</c:v>
                </c:pt>
                <c:pt idx="9">
                  <c:v>1961.9545387945816</c:v>
                </c:pt>
                <c:pt idx="10">
                  <c:v>1966.4553115373715</c:v>
                </c:pt>
                <c:pt idx="11">
                  <c:v>1970.5641951285215</c:v>
                </c:pt>
                <c:pt idx="12">
                  <c:v>1974.3440016265868</c:v>
                </c:pt>
                <c:pt idx="13">
                  <c:v>1977.8435558376657</c:v>
                </c:pt>
                <c:pt idx="14">
                  <c:v>1981.1015628634923</c:v>
                </c:pt>
                <c:pt idx="15">
                  <c:v>1984.1492249011917</c:v>
                </c:pt>
                <c:pt idx="16">
                  <c:v>1987.0120633301356</c:v>
                </c:pt>
                <c:pt idx="17">
                  <c:v>1989.7112191974322</c:v>
                </c:pt>
                <c:pt idx="18">
                  <c:v>1992.2644016200366</c:v>
                </c:pt>
                <c:pt idx="19">
                  <c:v>1994.6865926361625</c:v>
                </c:pt>
                <c:pt idx="20">
                  <c:v>1996.9905799065764</c:v>
                </c:pt>
              </c:numCache>
            </c:numRef>
          </c:yVal>
          <c:smooth val="1"/>
          <c:extLst>
            <c:ext xmlns:c16="http://schemas.microsoft.com/office/drawing/2014/chart" uri="{C3380CC4-5D6E-409C-BE32-E72D297353CC}">
              <c16:uniqueId val="{00000007-A727-482E-AC76-07390B19304B}"/>
            </c:ext>
          </c:extLst>
        </c:ser>
        <c:ser>
          <c:idx val="1"/>
          <c:order val="8"/>
          <c:tx>
            <c:v>Street Lighting BAU</c:v>
          </c:tx>
          <c:spPr>
            <a:ln w="19050" cap="rnd">
              <a:solidFill>
                <a:schemeClr val="accent4"/>
              </a:solidFill>
              <a:round/>
            </a:ln>
            <a:effectLst/>
          </c:spPr>
          <c:marker>
            <c:symbol val="none"/>
          </c:marker>
          <c:xVal>
            <c:numRef>
              <c:f>'Consumption Forecasts'!$B$2:$V$2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Forecasts'!$B$9:$V$9</c:f>
              <c:numCache>
                <c:formatCode>#,##0</c:formatCode>
                <c:ptCount val="21"/>
                <c:pt idx="0">
                  <c:v>377.58416084422981</c:v>
                </c:pt>
                <c:pt idx="1">
                  <c:v>378.9010038660831</c:v>
                </c:pt>
                <c:pt idx="2">
                  <c:v>380.01209016577189</c:v>
                </c:pt>
                <c:pt idx="3">
                  <c:v>381.57584125422278</c:v>
                </c:pt>
                <c:pt idx="4">
                  <c:v>382.97498696494199</c:v>
                </c:pt>
                <c:pt idx="5">
                  <c:v>384.04492192019785</c:v>
                </c:pt>
                <c:pt idx="6">
                  <c:v>384.53873805339276</c:v>
                </c:pt>
                <c:pt idx="7">
                  <c:v>384.55931372560917</c:v>
                </c:pt>
                <c:pt idx="8">
                  <c:v>383.57168145921929</c:v>
                </c:pt>
                <c:pt idx="9">
                  <c:v>381.987354698552</c:v>
                </c:pt>
                <c:pt idx="10">
                  <c:v>378.53064176618687</c:v>
                </c:pt>
                <c:pt idx="11">
                  <c:v>375.73235034474862</c:v>
                </c:pt>
                <c:pt idx="12">
                  <c:v>373.32499669542284</c:v>
                </c:pt>
                <c:pt idx="13">
                  <c:v>371.06167275161249</c:v>
                </c:pt>
                <c:pt idx="14">
                  <c:v>369.02468120218316</c:v>
                </c:pt>
                <c:pt idx="15">
                  <c:v>367.23459771935114</c:v>
                </c:pt>
                <c:pt idx="16">
                  <c:v>365.67084663090031</c:v>
                </c:pt>
                <c:pt idx="17">
                  <c:v>364.35400360904697</c:v>
                </c:pt>
                <c:pt idx="18">
                  <c:v>363.24291730935818</c:v>
                </c:pt>
                <c:pt idx="19">
                  <c:v>362.27058711461586</c:v>
                </c:pt>
                <c:pt idx="20">
                  <c:v>361.79111721010747</c:v>
                </c:pt>
              </c:numCache>
            </c:numRef>
          </c:yVal>
          <c:smooth val="1"/>
          <c:extLst>
            <c:ext xmlns:c16="http://schemas.microsoft.com/office/drawing/2014/chart" uri="{C3380CC4-5D6E-409C-BE32-E72D297353CC}">
              <c16:uniqueId val="{00000008-A727-482E-AC76-07390B19304B}"/>
            </c:ext>
          </c:extLst>
        </c:ser>
        <c:ser>
          <c:idx val="3"/>
          <c:order val="9"/>
          <c:tx>
            <c:v>Street Lighting EE</c:v>
          </c:tx>
          <c:spPr>
            <a:ln w="19050" cap="rnd">
              <a:solidFill>
                <a:schemeClr val="accent4"/>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Forecasts'!$AA$9:$AU$9</c:f>
              <c:numCache>
                <c:formatCode>0</c:formatCode>
                <c:ptCount val="21"/>
                <c:pt idx="0">
                  <c:v>377.58416084422981</c:v>
                </c:pt>
                <c:pt idx="1">
                  <c:v>317.09824933480854</c:v>
                </c:pt>
                <c:pt idx="2">
                  <c:v>281.71625927985895</c:v>
                </c:pt>
                <c:pt idx="3">
                  <c:v>256.61233782538727</c:v>
                </c:pt>
                <c:pt idx="4">
                  <c:v>237.14022356563373</c:v>
                </c:pt>
                <c:pt idx="5">
                  <c:v>221.23034777043767</c:v>
                </c:pt>
                <c:pt idx="6">
                  <c:v>207.77873945311538</c:v>
                </c:pt>
                <c:pt idx="7">
                  <c:v>196.12642631596603</c:v>
                </c:pt>
                <c:pt idx="8">
                  <c:v>185.84835771548805</c:v>
                </c:pt>
                <c:pt idx="9">
                  <c:v>176.65431205621249</c:v>
                </c:pt>
                <c:pt idx="10">
                  <c:v>168.33728608644029</c:v>
                </c:pt>
                <c:pt idx="11">
                  <c:v>160.74443626101643</c:v>
                </c:pt>
                <c:pt idx="12">
                  <c:v>153.75969150679998</c:v>
                </c:pt>
                <c:pt idx="13">
                  <c:v>147.29282794369414</c:v>
                </c:pt>
                <c:pt idx="14">
                  <c:v>141.27232200126284</c:v>
                </c:pt>
                <c:pt idx="15">
                  <c:v>135.64051480654479</c:v>
                </c:pt>
                <c:pt idx="16">
                  <c:v>130.35024513031422</c:v>
                </c:pt>
                <c:pt idx="17">
                  <c:v>125.36244620606681</c:v>
                </c:pt>
                <c:pt idx="18">
                  <c:v>120.64439316764526</c:v>
                </c:pt>
                <c:pt idx="19">
                  <c:v>116.16840054679119</c:v>
                </c:pt>
                <c:pt idx="20">
                  <c:v>111.91083788874448</c:v>
                </c:pt>
              </c:numCache>
            </c:numRef>
          </c:yVal>
          <c:smooth val="1"/>
          <c:extLst>
            <c:ext xmlns:c16="http://schemas.microsoft.com/office/drawing/2014/chart" uri="{C3380CC4-5D6E-409C-BE32-E72D297353CC}">
              <c16:uniqueId val="{00000009-A727-482E-AC76-07390B19304B}"/>
            </c:ext>
          </c:extLst>
        </c:ser>
        <c:dLbls>
          <c:showLegendKey val="0"/>
          <c:showVal val="0"/>
          <c:showCatName val="0"/>
          <c:showSerName val="0"/>
          <c:showPercent val="0"/>
          <c:showBubbleSize val="0"/>
        </c:dLbls>
        <c:axId val="496506079"/>
        <c:axId val="346964415"/>
      </c:scatterChart>
      <c:valAx>
        <c:axId val="496506079"/>
        <c:scaling>
          <c:orientation val="minMax"/>
          <c:max val="2040"/>
          <c:min val="2020"/>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964415"/>
        <c:crosses val="autoZero"/>
        <c:crossBetween val="midCat"/>
        <c:majorUnit val="2"/>
        <c:minorUnit val="1"/>
      </c:valAx>
      <c:valAx>
        <c:axId val="346964415"/>
        <c:scaling>
          <c:orientation val="minMax"/>
          <c:max val="21000"/>
          <c:min val="0"/>
        </c:scaling>
        <c:delete val="0"/>
        <c:axPos val="l"/>
        <c:numFmt formatCode="#,##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96506079"/>
        <c:crosses val="autoZero"/>
        <c:crossBetween val="midCat"/>
      </c:valAx>
      <c:spPr>
        <a:noFill/>
        <a:ln>
          <a:solidFill>
            <a:sysClr val="windowText" lastClr="000000"/>
          </a:solidFill>
        </a:ln>
        <a:effectLst/>
      </c:spPr>
    </c:plotArea>
    <c:legend>
      <c:legendPos val="r"/>
      <c:layout>
        <c:manualLayout>
          <c:xMode val="edge"/>
          <c:yMode val="edge"/>
          <c:x val="0.82721598978101174"/>
          <c:y val="0.13178011701365372"/>
          <c:w val="0.16712363201955605"/>
          <c:h val="0.787261837011468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IRP Residential baseline forecast - high/med/low</a:t>
            </a:r>
          </a:p>
        </c:rich>
      </c:tx>
      <c:overlay val="0"/>
      <c:spPr>
        <a:noFill/>
        <a:ln>
          <a:noFill/>
        </a:ln>
        <a:effectLst/>
      </c:spPr>
    </c:title>
    <c:autoTitleDeleted val="0"/>
    <c:plotArea>
      <c:layout/>
      <c:scatterChart>
        <c:scatterStyle val="smoothMarker"/>
        <c:varyColors val="0"/>
        <c:ser>
          <c:idx val="3"/>
          <c:order val="0"/>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Forecasts'!$B$19:$V$19</c:f>
              <c:numCache>
                <c:formatCode>#,##0</c:formatCode>
                <c:ptCount val="21"/>
                <c:pt idx="0">
                  <c:v>6706.8574296152492</c:v>
                </c:pt>
                <c:pt idx="1">
                  <c:v>6817.4859429750468</c:v>
                </c:pt>
                <c:pt idx="2">
                  <c:v>6856.8295689339393</c:v>
                </c:pt>
                <c:pt idx="3">
                  <c:v>6907.0758779480739</c:v>
                </c:pt>
                <c:pt idx="4">
                  <c:v>7034.7693793456629</c:v>
                </c:pt>
                <c:pt idx="5">
                  <c:v>6971.1834757329207</c:v>
                </c:pt>
                <c:pt idx="6">
                  <c:v>6991.5684495645928</c:v>
                </c:pt>
                <c:pt idx="7">
                  <c:v>7077.7351679147287</c:v>
                </c:pt>
                <c:pt idx="8">
                  <c:v>7098.9010493995984</c:v>
                </c:pt>
                <c:pt idx="9">
                  <c:v>7066.657232278053</c:v>
                </c:pt>
                <c:pt idx="10">
                  <c:v>6993.9202821068875</c:v>
                </c:pt>
                <c:pt idx="11">
                  <c:v>6944.6108467618242</c:v>
                </c:pt>
                <c:pt idx="12">
                  <c:v>6916.508665185439</c:v>
                </c:pt>
                <c:pt idx="13">
                  <c:v>6950.6844674349895</c:v>
                </c:pt>
                <c:pt idx="14">
                  <c:v>6988.3639183601945</c:v>
                </c:pt>
                <c:pt idx="15">
                  <c:v>6836.7548113902631</c:v>
                </c:pt>
                <c:pt idx="16">
                  <c:v>6887.8512185598838</c:v>
                </c:pt>
                <c:pt idx="17">
                  <c:v>6807.6275602701289</c:v>
                </c:pt>
                <c:pt idx="18">
                  <c:v>6900.0677615784753</c:v>
                </c:pt>
                <c:pt idx="19">
                  <c:v>6657.4680119091845</c:v>
                </c:pt>
                <c:pt idx="20">
                  <c:v>6725.9108117104743</c:v>
                </c:pt>
              </c:numCache>
            </c:numRef>
          </c:yVal>
          <c:smooth val="1"/>
          <c:extLst>
            <c:ext xmlns:c16="http://schemas.microsoft.com/office/drawing/2014/chart" uri="{C3380CC4-5D6E-409C-BE32-E72D297353CC}">
              <c16:uniqueId val="{00000000-4D03-4BEB-9488-75402F8334EC}"/>
            </c:ext>
          </c:extLst>
        </c:ser>
        <c:ser>
          <c:idx val="4"/>
          <c:order val="1"/>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Forecasts'!$B$28:$V$28</c:f>
              <c:numCache>
                <c:formatCode>#,##0</c:formatCode>
                <c:ptCount val="21"/>
                <c:pt idx="0">
                  <c:v>6548.8704746003232</c:v>
                </c:pt>
                <c:pt idx="1">
                  <c:v>6543.0670838536125</c:v>
                </c:pt>
                <c:pt idx="2">
                  <c:v>6533.4821559001857</c:v>
                </c:pt>
                <c:pt idx="3">
                  <c:v>6532.1742597750181</c:v>
                </c:pt>
                <c:pt idx="4">
                  <c:v>6530.1185113464207</c:v>
                </c:pt>
                <c:pt idx="5">
                  <c:v>6523.9394330959913</c:v>
                </c:pt>
                <c:pt idx="6">
                  <c:v>6507.6707612834625</c:v>
                </c:pt>
                <c:pt idx="7">
                  <c:v>6484.2397527818048</c:v>
                </c:pt>
                <c:pt idx="8">
                  <c:v>6443.6232199046653</c:v>
                </c:pt>
                <c:pt idx="9">
                  <c:v>6394.8677960285831</c:v>
                </c:pt>
                <c:pt idx="10">
                  <c:v>6312.1525191343326</c:v>
                </c:pt>
                <c:pt idx="11">
                  <c:v>6240.8247212236038</c:v>
                </c:pt>
                <c:pt idx="12">
                  <c:v>6176.5115737203123</c:v>
                </c:pt>
                <c:pt idx="13">
                  <c:v>6114.9914870297844</c:v>
                </c:pt>
                <c:pt idx="14">
                  <c:v>6057.360769846332</c:v>
                </c:pt>
                <c:pt idx="15">
                  <c:v>6004.2615690520533</c:v>
                </c:pt>
                <c:pt idx="16">
                  <c:v>5955.5169509791294</c:v>
                </c:pt>
                <c:pt idx="17">
                  <c:v>5911.248954614638</c:v>
                </c:pt>
                <c:pt idx="18">
                  <c:v>5870.7648202702221</c:v>
                </c:pt>
                <c:pt idx="19">
                  <c:v>5834.9349060977875</c:v>
                </c:pt>
                <c:pt idx="20">
                  <c:v>5806.9448509235799</c:v>
                </c:pt>
              </c:numCache>
            </c:numRef>
          </c:yVal>
          <c:smooth val="1"/>
          <c:extLst>
            <c:ext xmlns:c16="http://schemas.microsoft.com/office/drawing/2014/chart" uri="{C3380CC4-5D6E-409C-BE32-E72D297353CC}">
              <c16:uniqueId val="{00000001-4D03-4BEB-9488-75402F8334EC}"/>
            </c:ext>
          </c:extLst>
        </c:ser>
        <c:ser>
          <c:idx val="5"/>
          <c:order val="2"/>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Forecasts'!$B$37:$V$37</c:f>
              <c:numCache>
                <c:formatCode>#,##0</c:formatCode>
                <c:ptCount val="21"/>
                <c:pt idx="0">
                  <c:v>6353.2913891465832</c:v>
                </c:pt>
                <c:pt idx="1">
                  <c:v>6310.4991621102727</c:v>
                </c:pt>
                <c:pt idx="2">
                  <c:v>6207.9633716684866</c:v>
                </c:pt>
                <c:pt idx="3">
                  <c:v>6163.2304368070627</c:v>
                </c:pt>
                <c:pt idx="4">
                  <c:v>6134.192961950268</c:v>
                </c:pt>
                <c:pt idx="5">
                  <c:v>6079.762161536406</c:v>
                </c:pt>
                <c:pt idx="6">
                  <c:v>5988.7387730977698</c:v>
                </c:pt>
                <c:pt idx="7">
                  <c:v>5941.9749337481308</c:v>
                </c:pt>
                <c:pt idx="8">
                  <c:v>5861.0345054933805</c:v>
                </c:pt>
                <c:pt idx="9">
                  <c:v>5776.209798117141</c:v>
                </c:pt>
                <c:pt idx="10">
                  <c:v>5691.1282741437972</c:v>
                </c:pt>
                <c:pt idx="11">
                  <c:v>5632.7733134352638</c:v>
                </c:pt>
                <c:pt idx="12">
                  <c:v>5581.4908132983892</c:v>
                </c:pt>
                <c:pt idx="13">
                  <c:v>5571.8044750287827</c:v>
                </c:pt>
                <c:pt idx="14">
                  <c:v>5555.8205189487271</c:v>
                </c:pt>
                <c:pt idx="15">
                  <c:v>5486.8371759899237</c:v>
                </c:pt>
                <c:pt idx="16">
                  <c:v>5407.4833607008422</c:v>
                </c:pt>
                <c:pt idx="17">
                  <c:v>5403.9381510511475</c:v>
                </c:pt>
                <c:pt idx="18">
                  <c:v>5349.8246817508343</c:v>
                </c:pt>
                <c:pt idx="19">
                  <c:v>5305.1278757659929</c:v>
                </c:pt>
                <c:pt idx="20">
                  <c:v>5269.9243430548577</c:v>
                </c:pt>
              </c:numCache>
            </c:numRef>
          </c:yVal>
          <c:smooth val="1"/>
          <c:extLst>
            <c:ext xmlns:c16="http://schemas.microsoft.com/office/drawing/2014/chart" uri="{C3380CC4-5D6E-409C-BE32-E72D297353CC}">
              <c16:uniqueId val="{00000002-4D03-4BEB-9488-75402F8334EC}"/>
            </c:ext>
          </c:extLst>
        </c:ser>
        <c:ser>
          <c:idx val="6"/>
          <c:order val="3"/>
          <c:spPr>
            <a:ln w="19050" cap="rnd">
              <a:solidFill>
                <a:schemeClr val="accent1"/>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Forecasts'!$B$19:$V$19</c:f>
              <c:numCache>
                <c:formatCode>#,##0</c:formatCode>
                <c:ptCount val="21"/>
                <c:pt idx="0">
                  <c:v>6706.8574296152492</c:v>
                </c:pt>
                <c:pt idx="1">
                  <c:v>6817.4859429750468</c:v>
                </c:pt>
                <c:pt idx="2">
                  <c:v>6856.8295689339393</c:v>
                </c:pt>
                <c:pt idx="3">
                  <c:v>6907.0758779480739</c:v>
                </c:pt>
                <c:pt idx="4">
                  <c:v>7034.7693793456629</c:v>
                </c:pt>
                <c:pt idx="5">
                  <c:v>6971.1834757329207</c:v>
                </c:pt>
                <c:pt idx="6">
                  <c:v>6991.5684495645928</c:v>
                </c:pt>
                <c:pt idx="7">
                  <c:v>7077.7351679147287</c:v>
                </c:pt>
                <c:pt idx="8">
                  <c:v>7098.9010493995984</c:v>
                </c:pt>
                <c:pt idx="9">
                  <c:v>7066.657232278053</c:v>
                </c:pt>
                <c:pt idx="10">
                  <c:v>6993.9202821068875</c:v>
                </c:pt>
                <c:pt idx="11">
                  <c:v>6944.6108467618242</c:v>
                </c:pt>
                <c:pt idx="12">
                  <c:v>6916.508665185439</c:v>
                </c:pt>
                <c:pt idx="13">
                  <c:v>6950.6844674349895</c:v>
                </c:pt>
                <c:pt idx="14">
                  <c:v>6988.3639183601945</c:v>
                </c:pt>
                <c:pt idx="15">
                  <c:v>6836.7548113902631</c:v>
                </c:pt>
                <c:pt idx="16">
                  <c:v>6887.8512185598838</c:v>
                </c:pt>
                <c:pt idx="17">
                  <c:v>6807.6275602701289</c:v>
                </c:pt>
                <c:pt idx="18">
                  <c:v>6900.0677615784753</c:v>
                </c:pt>
                <c:pt idx="19">
                  <c:v>6657.4680119091845</c:v>
                </c:pt>
                <c:pt idx="20">
                  <c:v>6725.9108117104743</c:v>
                </c:pt>
              </c:numCache>
            </c:numRef>
          </c:yVal>
          <c:smooth val="1"/>
          <c:extLst>
            <c:ext xmlns:c16="http://schemas.microsoft.com/office/drawing/2014/chart" uri="{C3380CC4-5D6E-409C-BE32-E72D297353CC}">
              <c16:uniqueId val="{00000003-4D03-4BEB-9488-75402F8334EC}"/>
            </c:ext>
          </c:extLst>
        </c:ser>
        <c:ser>
          <c:idx val="7"/>
          <c:order val="4"/>
          <c:spPr>
            <a:ln w="19050" cap="rnd">
              <a:solidFill>
                <a:schemeClr val="accent2"/>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Forecasts'!$B$28:$V$28</c:f>
              <c:numCache>
                <c:formatCode>#,##0</c:formatCode>
                <c:ptCount val="21"/>
                <c:pt idx="0">
                  <c:v>6548.8704746003232</c:v>
                </c:pt>
                <c:pt idx="1">
                  <c:v>6543.0670838536125</c:v>
                </c:pt>
                <c:pt idx="2">
                  <c:v>6533.4821559001857</c:v>
                </c:pt>
                <c:pt idx="3">
                  <c:v>6532.1742597750181</c:v>
                </c:pt>
                <c:pt idx="4">
                  <c:v>6530.1185113464207</c:v>
                </c:pt>
                <c:pt idx="5">
                  <c:v>6523.9394330959913</c:v>
                </c:pt>
                <c:pt idx="6">
                  <c:v>6507.6707612834625</c:v>
                </c:pt>
                <c:pt idx="7">
                  <c:v>6484.2397527818048</c:v>
                </c:pt>
                <c:pt idx="8">
                  <c:v>6443.6232199046653</c:v>
                </c:pt>
                <c:pt idx="9">
                  <c:v>6394.8677960285831</c:v>
                </c:pt>
                <c:pt idx="10">
                  <c:v>6312.1525191343326</c:v>
                </c:pt>
                <c:pt idx="11">
                  <c:v>6240.8247212236038</c:v>
                </c:pt>
                <c:pt idx="12">
                  <c:v>6176.5115737203123</c:v>
                </c:pt>
                <c:pt idx="13">
                  <c:v>6114.9914870297844</c:v>
                </c:pt>
                <c:pt idx="14">
                  <c:v>6057.360769846332</c:v>
                </c:pt>
                <c:pt idx="15">
                  <c:v>6004.2615690520533</c:v>
                </c:pt>
                <c:pt idx="16">
                  <c:v>5955.5169509791294</c:v>
                </c:pt>
                <c:pt idx="17">
                  <c:v>5911.248954614638</c:v>
                </c:pt>
                <c:pt idx="18">
                  <c:v>5870.7648202702221</c:v>
                </c:pt>
                <c:pt idx="19">
                  <c:v>5834.9349060977875</c:v>
                </c:pt>
                <c:pt idx="20">
                  <c:v>5806.9448509235799</c:v>
                </c:pt>
              </c:numCache>
            </c:numRef>
          </c:yVal>
          <c:smooth val="1"/>
          <c:extLst>
            <c:ext xmlns:c16="http://schemas.microsoft.com/office/drawing/2014/chart" uri="{C3380CC4-5D6E-409C-BE32-E72D297353CC}">
              <c16:uniqueId val="{00000004-4D03-4BEB-9488-75402F8334EC}"/>
            </c:ext>
          </c:extLst>
        </c:ser>
        <c:ser>
          <c:idx val="8"/>
          <c:order val="5"/>
          <c:spPr>
            <a:ln w="19050" cap="rnd">
              <a:solidFill>
                <a:schemeClr val="accent3"/>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Forecasts'!$B$37:$V$37</c:f>
              <c:numCache>
                <c:formatCode>#,##0</c:formatCode>
                <c:ptCount val="21"/>
                <c:pt idx="0">
                  <c:v>6353.2913891465832</c:v>
                </c:pt>
                <c:pt idx="1">
                  <c:v>6310.4991621102727</c:v>
                </c:pt>
                <c:pt idx="2">
                  <c:v>6207.9633716684866</c:v>
                </c:pt>
                <c:pt idx="3">
                  <c:v>6163.2304368070627</c:v>
                </c:pt>
                <c:pt idx="4">
                  <c:v>6134.192961950268</c:v>
                </c:pt>
                <c:pt idx="5">
                  <c:v>6079.762161536406</c:v>
                </c:pt>
                <c:pt idx="6">
                  <c:v>5988.7387730977698</c:v>
                </c:pt>
                <c:pt idx="7">
                  <c:v>5941.9749337481308</c:v>
                </c:pt>
                <c:pt idx="8">
                  <c:v>5861.0345054933805</c:v>
                </c:pt>
                <c:pt idx="9">
                  <c:v>5776.209798117141</c:v>
                </c:pt>
                <c:pt idx="10">
                  <c:v>5691.1282741437972</c:v>
                </c:pt>
                <c:pt idx="11">
                  <c:v>5632.7733134352638</c:v>
                </c:pt>
                <c:pt idx="12">
                  <c:v>5581.4908132983892</c:v>
                </c:pt>
                <c:pt idx="13">
                  <c:v>5571.8044750287827</c:v>
                </c:pt>
                <c:pt idx="14">
                  <c:v>5555.8205189487271</c:v>
                </c:pt>
                <c:pt idx="15">
                  <c:v>5486.8371759899237</c:v>
                </c:pt>
                <c:pt idx="16">
                  <c:v>5407.4833607008422</c:v>
                </c:pt>
                <c:pt idx="17">
                  <c:v>5403.9381510511475</c:v>
                </c:pt>
                <c:pt idx="18">
                  <c:v>5349.8246817508343</c:v>
                </c:pt>
                <c:pt idx="19">
                  <c:v>5305.1278757659929</c:v>
                </c:pt>
                <c:pt idx="20">
                  <c:v>5269.9243430548577</c:v>
                </c:pt>
              </c:numCache>
            </c:numRef>
          </c:yVal>
          <c:smooth val="1"/>
          <c:extLst>
            <c:ext xmlns:c16="http://schemas.microsoft.com/office/drawing/2014/chart" uri="{C3380CC4-5D6E-409C-BE32-E72D297353CC}">
              <c16:uniqueId val="{00000005-4D03-4BEB-9488-75402F8334EC}"/>
            </c:ext>
          </c:extLst>
        </c:ser>
        <c:ser>
          <c:idx val="0"/>
          <c:order val="6"/>
          <c:spPr>
            <a:ln w="19050" cap="rnd">
              <a:solidFill>
                <a:schemeClr val="accent1"/>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Forecasts'!$B$19:$V$19</c:f>
              <c:numCache>
                <c:formatCode>#,##0</c:formatCode>
                <c:ptCount val="21"/>
                <c:pt idx="0">
                  <c:v>6706.8574296152492</c:v>
                </c:pt>
                <c:pt idx="1">
                  <c:v>6817.4859429750468</c:v>
                </c:pt>
                <c:pt idx="2">
                  <c:v>6856.8295689339393</c:v>
                </c:pt>
                <c:pt idx="3">
                  <c:v>6907.0758779480739</c:v>
                </c:pt>
                <c:pt idx="4">
                  <c:v>7034.7693793456629</c:v>
                </c:pt>
                <c:pt idx="5">
                  <c:v>6971.1834757329207</c:v>
                </c:pt>
                <c:pt idx="6">
                  <c:v>6991.5684495645928</c:v>
                </c:pt>
                <c:pt idx="7">
                  <c:v>7077.7351679147287</c:v>
                </c:pt>
                <c:pt idx="8">
                  <c:v>7098.9010493995984</c:v>
                </c:pt>
                <c:pt idx="9">
                  <c:v>7066.657232278053</c:v>
                </c:pt>
                <c:pt idx="10">
                  <c:v>6993.9202821068875</c:v>
                </c:pt>
                <c:pt idx="11">
                  <c:v>6944.6108467618242</c:v>
                </c:pt>
                <c:pt idx="12">
                  <c:v>6916.508665185439</c:v>
                </c:pt>
                <c:pt idx="13">
                  <c:v>6950.6844674349895</c:v>
                </c:pt>
                <c:pt idx="14">
                  <c:v>6988.3639183601945</c:v>
                </c:pt>
                <c:pt idx="15">
                  <c:v>6836.7548113902631</c:v>
                </c:pt>
                <c:pt idx="16">
                  <c:v>6887.8512185598838</c:v>
                </c:pt>
                <c:pt idx="17">
                  <c:v>6807.6275602701289</c:v>
                </c:pt>
                <c:pt idx="18">
                  <c:v>6900.0677615784753</c:v>
                </c:pt>
                <c:pt idx="19">
                  <c:v>6657.4680119091845</c:v>
                </c:pt>
                <c:pt idx="20">
                  <c:v>6725.9108117104743</c:v>
                </c:pt>
              </c:numCache>
            </c:numRef>
          </c:yVal>
          <c:smooth val="1"/>
          <c:extLst>
            <c:ext xmlns:c16="http://schemas.microsoft.com/office/drawing/2014/chart" uri="{C3380CC4-5D6E-409C-BE32-E72D297353CC}">
              <c16:uniqueId val="{00000006-4D03-4BEB-9488-75402F8334EC}"/>
            </c:ext>
          </c:extLst>
        </c:ser>
        <c:ser>
          <c:idx val="1"/>
          <c:order val="7"/>
          <c:spPr>
            <a:ln w="19050" cap="rnd">
              <a:solidFill>
                <a:schemeClr val="accent2"/>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Forecasts'!$B$28:$V$28</c:f>
              <c:numCache>
                <c:formatCode>#,##0</c:formatCode>
                <c:ptCount val="21"/>
                <c:pt idx="0">
                  <c:v>6548.8704746003232</c:v>
                </c:pt>
                <c:pt idx="1">
                  <c:v>6543.0670838536125</c:v>
                </c:pt>
                <c:pt idx="2">
                  <c:v>6533.4821559001857</c:v>
                </c:pt>
                <c:pt idx="3">
                  <c:v>6532.1742597750181</c:v>
                </c:pt>
                <c:pt idx="4">
                  <c:v>6530.1185113464207</c:v>
                </c:pt>
                <c:pt idx="5">
                  <c:v>6523.9394330959913</c:v>
                </c:pt>
                <c:pt idx="6">
                  <c:v>6507.6707612834625</c:v>
                </c:pt>
                <c:pt idx="7">
                  <c:v>6484.2397527818048</c:v>
                </c:pt>
                <c:pt idx="8">
                  <c:v>6443.6232199046653</c:v>
                </c:pt>
                <c:pt idx="9">
                  <c:v>6394.8677960285831</c:v>
                </c:pt>
                <c:pt idx="10">
                  <c:v>6312.1525191343326</c:v>
                </c:pt>
                <c:pt idx="11">
                  <c:v>6240.8247212236038</c:v>
                </c:pt>
                <c:pt idx="12">
                  <c:v>6176.5115737203123</c:v>
                </c:pt>
                <c:pt idx="13">
                  <c:v>6114.9914870297844</c:v>
                </c:pt>
                <c:pt idx="14">
                  <c:v>6057.360769846332</c:v>
                </c:pt>
                <c:pt idx="15">
                  <c:v>6004.2615690520533</c:v>
                </c:pt>
                <c:pt idx="16">
                  <c:v>5955.5169509791294</c:v>
                </c:pt>
                <c:pt idx="17">
                  <c:v>5911.248954614638</c:v>
                </c:pt>
                <c:pt idx="18">
                  <c:v>5870.7648202702221</c:v>
                </c:pt>
                <c:pt idx="19">
                  <c:v>5834.9349060977875</c:v>
                </c:pt>
                <c:pt idx="20">
                  <c:v>5806.9448509235799</c:v>
                </c:pt>
              </c:numCache>
            </c:numRef>
          </c:yVal>
          <c:smooth val="1"/>
          <c:extLst>
            <c:ext xmlns:c16="http://schemas.microsoft.com/office/drawing/2014/chart" uri="{C3380CC4-5D6E-409C-BE32-E72D297353CC}">
              <c16:uniqueId val="{00000007-4D03-4BEB-9488-75402F8334EC}"/>
            </c:ext>
          </c:extLst>
        </c:ser>
        <c:ser>
          <c:idx val="2"/>
          <c:order val="8"/>
          <c:spPr>
            <a:ln w="19050" cap="rnd">
              <a:solidFill>
                <a:schemeClr val="accent3"/>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Forecasts'!$B$37:$V$37</c:f>
              <c:numCache>
                <c:formatCode>#,##0</c:formatCode>
                <c:ptCount val="21"/>
                <c:pt idx="0">
                  <c:v>6353.2913891465832</c:v>
                </c:pt>
                <c:pt idx="1">
                  <c:v>6310.4991621102727</c:v>
                </c:pt>
                <c:pt idx="2">
                  <c:v>6207.9633716684866</c:v>
                </c:pt>
                <c:pt idx="3">
                  <c:v>6163.2304368070627</c:v>
                </c:pt>
                <c:pt idx="4">
                  <c:v>6134.192961950268</c:v>
                </c:pt>
                <c:pt idx="5">
                  <c:v>6079.762161536406</c:v>
                </c:pt>
                <c:pt idx="6">
                  <c:v>5988.7387730977698</c:v>
                </c:pt>
                <c:pt idx="7">
                  <c:v>5941.9749337481308</c:v>
                </c:pt>
                <c:pt idx="8">
                  <c:v>5861.0345054933805</c:v>
                </c:pt>
                <c:pt idx="9">
                  <c:v>5776.209798117141</c:v>
                </c:pt>
                <c:pt idx="10">
                  <c:v>5691.1282741437972</c:v>
                </c:pt>
                <c:pt idx="11">
                  <c:v>5632.7733134352638</c:v>
                </c:pt>
                <c:pt idx="12">
                  <c:v>5581.4908132983892</c:v>
                </c:pt>
                <c:pt idx="13">
                  <c:v>5571.8044750287827</c:v>
                </c:pt>
                <c:pt idx="14">
                  <c:v>5555.8205189487271</c:v>
                </c:pt>
                <c:pt idx="15">
                  <c:v>5486.8371759899237</c:v>
                </c:pt>
                <c:pt idx="16">
                  <c:v>5407.4833607008422</c:v>
                </c:pt>
                <c:pt idx="17">
                  <c:v>5403.9381510511475</c:v>
                </c:pt>
                <c:pt idx="18">
                  <c:v>5349.8246817508343</c:v>
                </c:pt>
                <c:pt idx="19">
                  <c:v>5305.1278757659929</c:v>
                </c:pt>
                <c:pt idx="20">
                  <c:v>5269.9243430548577</c:v>
                </c:pt>
              </c:numCache>
            </c:numRef>
          </c:yVal>
          <c:smooth val="1"/>
          <c:extLst>
            <c:ext xmlns:c16="http://schemas.microsoft.com/office/drawing/2014/chart" uri="{C3380CC4-5D6E-409C-BE32-E72D297353CC}">
              <c16:uniqueId val="{00000008-4D03-4BEB-9488-75402F8334EC}"/>
            </c:ext>
          </c:extLst>
        </c:ser>
        <c:dLbls>
          <c:showLegendKey val="0"/>
          <c:showVal val="0"/>
          <c:showCatName val="0"/>
          <c:showSerName val="0"/>
          <c:showPercent val="0"/>
          <c:showBubbleSize val="0"/>
        </c:dLbls>
        <c:axId val="2050306639"/>
        <c:axId val="788428767"/>
      </c:scatterChart>
      <c:valAx>
        <c:axId val="2050306639"/>
        <c:scaling>
          <c:orientation val="minMax"/>
          <c:max val="2038"/>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428767"/>
        <c:crosses val="autoZero"/>
        <c:crossBetween val="midCat"/>
      </c:valAx>
      <c:valAx>
        <c:axId val="78842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0306639"/>
        <c:crosses val="autoZero"/>
        <c:crossBetween val="midCat"/>
      </c:valAx>
    </c:plotArea>
    <c:plotVisOnly val="1"/>
    <c:dispBlanksAs val="gap"/>
    <c:showDLblsOverMax val="0"/>
    <c:extLst/>
  </c:chart>
  <c:spPr>
    <a:ln>
      <a:solidFill>
        <a:sysClr val="windowText" lastClr="000000"/>
      </a:solidFill>
    </a:ln>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IRP Commercial baseline forecast - high/med/low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Forecasts'!$B$20:$V$20</c:f>
              <c:numCache>
                <c:formatCode>#,##0</c:formatCode>
                <c:ptCount val="21"/>
                <c:pt idx="0">
                  <c:v>9726.2870100580876</c:v>
                </c:pt>
                <c:pt idx="1">
                  <c:v>9861.3972649911157</c:v>
                </c:pt>
                <c:pt idx="2">
                  <c:v>9880.9179830791345</c:v>
                </c:pt>
                <c:pt idx="3">
                  <c:v>9919.2938543944038</c:v>
                </c:pt>
                <c:pt idx="4">
                  <c:v>10077.445632020763</c:v>
                </c:pt>
                <c:pt idx="5">
                  <c:v>9975.895968140374</c:v>
                </c:pt>
                <c:pt idx="6">
                  <c:v>10008.237153169652</c:v>
                </c:pt>
                <c:pt idx="7">
                  <c:v>10160.947510109347</c:v>
                </c:pt>
                <c:pt idx="8">
                  <c:v>10238.103309029437</c:v>
                </c:pt>
                <c:pt idx="9">
                  <c:v>10290.042843238905</c:v>
                </c:pt>
                <c:pt idx="10">
                  <c:v>10269.128861478199</c:v>
                </c:pt>
                <c:pt idx="11">
                  <c:v>10272.254111642924</c:v>
                </c:pt>
                <c:pt idx="12">
                  <c:v>10303.196277062696</c:v>
                </c:pt>
                <c:pt idx="13">
                  <c:v>10422.443037693356</c:v>
                </c:pt>
                <c:pt idx="14">
                  <c:v>10541.875882655044</c:v>
                </c:pt>
                <c:pt idx="15">
                  <c:v>10368.728524935008</c:v>
                </c:pt>
                <c:pt idx="16">
                  <c:v>10495.758582538376</c:v>
                </c:pt>
                <c:pt idx="17">
                  <c:v>10416.992440229043</c:v>
                </c:pt>
                <c:pt idx="18">
                  <c:v>10597.936243240545</c:v>
                </c:pt>
                <c:pt idx="19">
                  <c:v>10251.367250350908</c:v>
                </c:pt>
                <c:pt idx="20">
                  <c:v>10378.305340568892</c:v>
                </c:pt>
              </c:numCache>
            </c:numRef>
          </c:yVal>
          <c:smooth val="1"/>
          <c:extLst>
            <c:ext xmlns:c16="http://schemas.microsoft.com/office/drawing/2014/chart" uri="{C3380CC4-5D6E-409C-BE32-E72D297353CC}">
              <c16:uniqueId val="{00000000-3BD8-415D-8198-6B57D4013FF1}"/>
            </c:ext>
          </c:extLst>
        </c:ser>
        <c:ser>
          <c:idx val="1"/>
          <c:order val="1"/>
          <c:spPr>
            <a:ln w="19050" cap="rnd">
              <a:solidFill>
                <a:schemeClr val="accent2"/>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Forecasts'!$B$29:$V$29</c:f>
              <c:numCache>
                <c:formatCode>#,##0</c:formatCode>
                <c:ptCount val="21"/>
                <c:pt idx="0">
                  <c:v>9497.1742721705814</c:v>
                </c:pt>
                <c:pt idx="1">
                  <c:v>9464.4542555829921</c:v>
                </c:pt>
                <c:pt idx="2">
                  <c:v>9414.9636763390772</c:v>
                </c:pt>
                <c:pt idx="3">
                  <c:v>9380.8953507643473</c:v>
                </c:pt>
                <c:pt idx="4">
                  <c:v>9354.523328363457</c:v>
                </c:pt>
                <c:pt idx="5">
                  <c:v>9335.8812479357166</c:v>
                </c:pt>
                <c:pt idx="6">
                  <c:v>9315.5509759371707</c:v>
                </c:pt>
                <c:pt idx="7">
                  <c:v>9308.9128383411862</c:v>
                </c:pt>
                <c:pt idx="8">
                  <c:v>9293.0553265599374</c:v>
                </c:pt>
                <c:pt idx="9">
                  <c:v>9311.8233183032207</c:v>
                </c:pt>
                <c:pt idx="10">
                  <c:v>9268.0935723745279</c:v>
                </c:pt>
                <c:pt idx="11">
                  <c:v>9231.2353877286496</c:v>
                </c:pt>
                <c:pt idx="12">
                  <c:v>9200.8575615488771</c:v>
                </c:pt>
                <c:pt idx="13">
                  <c:v>9169.3344372266056</c:v>
                </c:pt>
                <c:pt idx="14">
                  <c:v>9137.467103626097</c:v>
                </c:pt>
                <c:pt idx="15">
                  <c:v>9106.1563445978099</c:v>
                </c:pt>
                <c:pt idx="16">
                  <c:v>9075.0607363962663</c:v>
                </c:pt>
                <c:pt idx="17">
                  <c:v>9045.3590663366303</c:v>
                </c:pt>
                <c:pt idx="18">
                  <c:v>9017.0116314988518</c:v>
                </c:pt>
                <c:pt idx="19">
                  <c:v>8984.8063103417826</c:v>
                </c:pt>
                <c:pt idx="20">
                  <c:v>8960.3101268901337</c:v>
                </c:pt>
              </c:numCache>
            </c:numRef>
          </c:yVal>
          <c:smooth val="1"/>
          <c:extLst>
            <c:ext xmlns:c16="http://schemas.microsoft.com/office/drawing/2014/chart" uri="{C3380CC4-5D6E-409C-BE32-E72D297353CC}">
              <c16:uniqueId val="{00000001-3BD8-415D-8198-6B57D4013FF1}"/>
            </c:ext>
          </c:extLst>
        </c:ser>
        <c:ser>
          <c:idx val="2"/>
          <c:order val="2"/>
          <c:spPr>
            <a:ln w="19050" cap="rnd">
              <a:solidFill>
                <a:schemeClr val="accent3"/>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Forecasts'!$B$38:$V$38</c:f>
              <c:numCache>
                <c:formatCode>#,##0</c:formatCode>
                <c:ptCount val="21"/>
                <c:pt idx="0">
                  <c:v>9213.5454134612828</c:v>
                </c:pt>
                <c:pt idx="1">
                  <c:v>9128.0480368407771</c:v>
                </c:pt>
                <c:pt idx="2">
                  <c:v>8945.8803519528883</c:v>
                </c:pt>
                <c:pt idx="3">
                  <c:v>8851.0528732165239</c:v>
                </c:pt>
                <c:pt idx="4">
                  <c:v>8787.3521841206584</c:v>
                </c:pt>
                <c:pt idx="5">
                  <c:v>8700.2551353946164</c:v>
                </c:pt>
                <c:pt idx="6">
                  <c:v>8572.714165914711</c:v>
                </c:pt>
                <c:pt idx="7">
                  <c:v>8530.4259026109448</c:v>
                </c:pt>
                <c:pt idx="8">
                  <c:v>8452.8402843567728</c:v>
                </c:pt>
                <c:pt idx="9">
                  <c:v>8410.9706103576063</c:v>
                </c:pt>
                <c:pt idx="10">
                  <c:v>8356.2476060677945</c:v>
                </c:pt>
                <c:pt idx="11">
                  <c:v>8331.8245047334567</c:v>
                </c:pt>
                <c:pt idx="12">
                  <c:v>8314.4832388486248</c:v>
                </c:pt>
                <c:pt idx="13">
                  <c:v>8354.8339778949357</c:v>
                </c:pt>
                <c:pt idx="14">
                  <c:v>8380.8987369977513</c:v>
                </c:pt>
                <c:pt idx="15">
                  <c:v>8321.4224742384158</c:v>
                </c:pt>
                <c:pt idx="16">
                  <c:v>8239.9631020014731</c:v>
                </c:pt>
                <c:pt idx="17">
                  <c:v>8269.0749998566916</c:v>
                </c:pt>
                <c:pt idx="18">
                  <c:v>8216.8904493105765</c:v>
                </c:pt>
                <c:pt idx="19">
                  <c:v>8168.9936875798921</c:v>
                </c:pt>
                <c:pt idx="20">
                  <c:v>8131.6695217983752</c:v>
                </c:pt>
              </c:numCache>
            </c:numRef>
          </c:yVal>
          <c:smooth val="1"/>
          <c:extLst>
            <c:ext xmlns:c16="http://schemas.microsoft.com/office/drawing/2014/chart" uri="{C3380CC4-5D6E-409C-BE32-E72D297353CC}">
              <c16:uniqueId val="{00000002-3BD8-415D-8198-6B57D4013FF1}"/>
            </c:ext>
          </c:extLst>
        </c:ser>
        <c:dLbls>
          <c:showLegendKey val="0"/>
          <c:showVal val="0"/>
          <c:showCatName val="0"/>
          <c:showSerName val="0"/>
          <c:showPercent val="0"/>
          <c:showBubbleSize val="0"/>
        </c:dLbls>
        <c:axId val="2050306639"/>
        <c:axId val="788428767"/>
      </c:scatterChart>
      <c:valAx>
        <c:axId val="2050306639"/>
        <c:scaling>
          <c:orientation val="minMax"/>
          <c:max val="2038"/>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428767"/>
        <c:crosses val="autoZero"/>
        <c:crossBetween val="midCat"/>
      </c:valAx>
      <c:valAx>
        <c:axId val="78842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030663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IRP Industrial baseline forecast - high/med/low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Forecasts'!$B$21:$V$21</c:f>
              <c:numCache>
                <c:formatCode>#,##0</c:formatCode>
                <c:ptCount val="21"/>
                <c:pt idx="0">
                  <c:v>1897.9286801784795</c:v>
                </c:pt>
                <c:pt idx="1">
                  <c:v>2036.127602702262</c:v>
                </c:pt>
                <c:pt idx="2">
                  <c:v>2168.1590419612644</c:v>
                </c:pt>
                <c:pt idx="3">
                  <c:v>2300.2746714102605</c:v>
                </c:pt>
                <c:pt idx="4">
                  <c:v>2445.6146696646506</c:v>
                </c:pt>
                <c:pt idx="5">
                  <c:v>2506.5244145241518</c:v>
                </c:pt>
                <c:pt idx="6">
                  <c:v>2584.6086160043487</c:v>
                </c:pt>
                <c:pt idx="7">
                  <c:v>2659.8029767397229</c:v>
                </c:pt>
                <c:pt idx="8">
                  <c:v>2695.2104898082721</c:v>
                </c:pt>
                <c:pt idx="9">
                  <c:v>2653.56724121241</c:v>
                </c:pt>
                <c:pt idx="10">
                  <c:v>2619.2078498890796</c:v>
                </c:pt>
                <c:pt idx="11">
                  <c:v>2603.2407557329948</c:v>
                </c:pt>
                <c:pt idx="12">
                  <c:v>2597.9464249454982</c:v>
                </c:pt>
                <c:pt idx="13">
                  <c:v>2620.852954078076</c:v>
                </c:pt>
                <c:pt idx="14">
                  <c:v>2651.9801165251051</c:v>
                </c:pt>
                <c:pt idx="15">
                  <c:v>2616.8803347641074</c:v>
                </c:pt>
                <c:pt idx="16">
                  <c:v>2664.6221353030473</c:v>
                </c:pt>
                <c:pt idx="17">
                  <c:v>2666.6050889257035</c:v>
                </c:pt>
                <c:pt idx="18">
                  <c:v>2740.4472838568763</c:v>
                </c:pt>
                <c:pt idx="19">
                  <c:v>2686.8039451342415</c:v>
                </c:pt>
                <c:pt idx="20">
                  <c:v>2762.7901917554136</c:v>
                </c:pt>
              </c:numCache>
            </c:numRef>
          </c:yVal>
          <c:smooth val="1"/>
          <c:extLst>
            <c:ext xmlns:c16="http://schemas.microsoft.com/office/drawing/2014/chart" uri="{C3380CC4-5D6E-409C-BE32-E72D297353CC}">
              <c16:uniqueId val="{00000000-98E2-4645-A669-42AF92925790}"/>
            </c:ext>
          </c:extLst>
        </c:ser>
        <c:ser>
          <c:idx val="1"/>
          <c:order val="1"/>
          <c:spPr>
            <a:ln w="19050" cap="rnd">
              <a:solidFill>
                <a:schemeClr val="accent2"/>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Forecasts'!$B$30:$V$30</c:f>
              <c:numCache>
                <c:formatCode>#,##0</c:formatCode>
                <c:ptCount val="21"/>
                <c:pt idx="0">
                  <c:v>1853.2210095348682</c:v>
                </c:pt>
                <c:pt idx="1">
                  <c:v>1954.1689718472956</c:v>
                </c:pt>
                <c:pt idx="2">
                  <c:v>2065.9151973074277</c:v>
                </c:pt>
                <c:pt idx="3">
                  <c:v>2175.4205780438515</c:v>
                </c:pt>
                <c:pt idx="4">
                  <c:v>2270.1744385375937</c:v>
                </c:pt>
                <c:pt idx="5">
                  <c:v>2345.7155481354957</c:v>
                </c:pt>
                <c:pt idx="6">
                  <c:v>2405.723700063365</c:v>
                </c:pt>
                <c:pt idx="7">
                  <c:v>2436.7682298325399</c:v>
                </c:pt>
                <c:pt idx="8">
                  <c:v>2446.4238582573348</c:v>
                </c:pt>
                <c:pt idx="9">
                  <c:v>2401.3067476820788</c:v>
                </c:pt>
                <c:pt idx="10">
                  <c:v>2363.8873136874427</c:v>
                </c:pt>
                <c:pt idx="11">
                  <c:v>2339.4211169155355</c:v>
                </c:pt>
                <c:pt idx="12">
                  <c:v>2319.9922010292112</c:v>
                </c:pt>
                <c:pt idx="13">
                  <c:v>2305.7432081733605</c:v>
                </c:pt>
                <c:pt idx="14">
                  <c:v>2298.6782754755368</c:v>
                </c:pt>
                <c:pt idx="15">
                  <c:v>2298.2298558747143</c:v>
                </c:pt>
                <c:pt idx="16">
                  <c:v>2303.9409231126579</c:v>
                </c:pt>
                <c:pt idx="17">
                  <c:v>2315.4860345586617</c:v>
                </c:pt>
                <c:pt idx="18">
                  <c:v>2331.6468854780614</c:v>
                </c:pt>
                <c:pt idx="19">
                  <c:v>2354.8481340444609</c:v>
                </c:pt>
                <c:pt idx="20">
                  <c:v>2385.3082098952568</c:v>
                </c:pt>
              </c:numCache>
            </c:numRef>
          </c:yVal>
          <c:smooth val="1"/>
          <c:extLst>
            <c:ext xmlns:c16="http://schemas.microsoft.com/office/drawing/2014/chart" uri="{C3380CC4-5D6E-409C-BE32-E72D297353CC}">
              <c16:uniqueId val="{00000001-98E2-4645-A669-42AF92925790}"/>
            </c:ext>
          </c:extLst>
        </c:ser>
        <c:ser>
          <c:idx val="2"/>
          <c:order val="2"/>
          <c:spPr>
            <a:ln w="19050" cap="rnd">
              <a:solidFill>
                <a:schemeClr val="accent3"/>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Forecasts'!$B$39:$V$39</c:f>
              <c:numCache>
                <c:formatCode>#,##0</c:formatCode>
                <c:ptCount val="21"/>
                <c:pt idx="0">
                  <c:v>1797.8753935856373</c:v>
                </c:pt>
                <c:pt idx="1">
                  <c:v>1884.7096478493252</c:v>
                </c:pt>
                <c:pt idx="2">
                  <c:v>1962.9847557287367</c:v>
                </c:pt>
                <c:pt idx="3">
                  <c:v>2052.5506188682216</c:v>
                </c:pt>
                <c:pt idx="4">
                  <c:v>2132.5322104154925</c:v>
                </c:pt>
                <c:pt idx="5">
                  <c:v>2186.0093548590698</c:v>
                </c:pt>
                <c:pt idx="6">
                  <c:v>2213.8874765520964</c:v>
                </c:pt>
                <c:pt idx="7">
                  <c:v>2232.9858692851426</c:v>
                </c:pt>
                <c:pt idx="8">
                  <c:v>2225.2348033038202</c:v>
                </c:pt>
                <c:pt idx="9">
                  <c:v>2168.9973908233133</c:v>
                </c:pt>
                <c:pt idx="10">
                  <c:v>2131.3150921235092</c:v>
                </c:pt>
                <c:pt idx="11">
                  <c:v>2111.488372912534</c:v>
                </c:pt>
                <c:pt idx="12">
                  <c:v>2096.4933040947644</c:v>
                </c:pt>
                <c:pt idx="13">
                  <c:v>2100.926935518557</c:v>
                </c:pt>
                <c:pt idx="14">
                  <c:v>2108.3512134398834</c:v>
                </c:pt>
                <c:pt idx="15">
                  <c:v>2100.1771603654838</c:v>
                </c:pt>
                <c:pt idx="16">
                  <c:v>2091.9296021349023</c:v>
                </c:pt>
                <c:pt idx="17">
                  <c:v>2116.7681172706439</c:v>
                </c:pt>
                <c:pt idx="18">
                  <c:v>2124.7490640382762</c:v>
                </c:pt>
                <c:pt idx="19">
                  <c:v>2141.0299652287913</c:v>
                </c:pt>
                <c:pt idx="20">
                  <c:v>2164.7172693600378</c:v>
                </c:pt>
              </c:numCache>
            </c:numRef>
          </c:yVal>
          <c:smooth val="1"/>
          <c:extLst>
            <c:ext xmlns:c16="http://schemas.microsoft.com/office/drawing/2014/chart" uri="{C3380CC4-5D6E-409C-BE32-E72D297353CC}">
              <c16:uniqueId val="{00000002-98E2-4645-A669-42AF92925790}"/>
            </c:ext>
          </c:extLst>
        </c:ser>
        <c:dLbls>
          <c:showLegendKey val="0"/>
          <c:showVal val="0"/>
          <c:showCatName val="0"/>
          <c:showSerName val="0"/>
          <c:showPercent val="0"/>
          <c:showBubbleSize val="0"/>
        </c:dLbls>
        <c:axId val="2050306639"/>
        <c:axId val="788428767"/>
      </c:scatterChart>
      <c:valAx>
        <c:axId val="2050306639"/>
        <c:scaling>
          <c:orientation val="minMax"/>
          <c:max val="2038"/>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428767"/>
        <c:crosses val="autoZero"/>
        <c:crossBetween val="midCat"/>
      </c:valAx>
      <c:valAx>
        <c:axId val="78842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030663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IRP</a:t>
            </a:r>
            <a:r>
              <a:rPr lang="en-US" baseline="0"/>
              <a:t> Total</a:t>
            </a:r>
            <a:r>
              <a:rPr lang="en-US"/>
              <a:t> Baseline Forecast - high/med/low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Forecasts'!$B$24:$V$24</c:f>
              <c:numCache>
                <c:formatCode>#,##0</c:formatCode>
                <c:ptCount val="21"/>
                <c:pt idx="0">
                  <c:v>18793.705138653066</c:v>
                </c:pt>
                <c:pt idx="1">
                  <c:v>19187.332489634959</c:v>
                </c:pt>
                <c:pt idx="2">
                  <c:v>19383.046021527334</c:v>
                </c:pt>
                <c:pt idx="3">
                  <c:v>19609.354720576419</c:v>
                </c:pt>
                <c:pt idx="4">
                  <c:v>20051.42207300663</c:v>
                </c:pt>
                <c:pt idx="5">
                  <c:v>19944.565842299176</c:v>
                </c:pt>
                <c:pt idx="6">
                  <c:v>20078.677540248278</c:v>
                </c:pt>
                <c:pt idx="7">
                  <c:v>20400.675380884179</c:v>
                </c:pt>
                <c:pt idx="8">
                  <c:v>20537.779576265366</c:v>
                </c:pt>
                <c:pt idx="9">
                  <c:v>20515.278142062103</c:v>
                </c:pt>
                <c:pt idx="10">
                  <c:v>20384.037147373336</c:v>
                </c:pt>
                <c:pt idx="11">
                  <c:v>20320.317319832313</c:v>
                </c:pt>
                <c:pt idx="12">
                  <c:v>20317.801031098214</c:v>
                </c:pt>
                <c:pt idx="13">
                  <c:v>20498.580243585555</c:v>
                </c:pt>
                <c:pt idx="14">
                  <c:v>20691.570411278262</c:v>
                </c:pt>
                <c:pt idx="15">
                  <c:v>20322.632262164785</c:v>
                </c:pt>
                <c:pt idx="16">
                  <c:v>20554.200897055802</c:v>
                </c:pt>
                <c:pt idx="17">
                  <c:v>20393.231576409256</c:v>
                </c:pt>
                <c:pt idx="18">
                  <c:v>20749.220926431099</c:v>
                </c:pt>
                <c:pt idx="19">
                  <c:v>20090.146443826045</c:v>
                </c:pt>
                <c:pt idx="20">
                  <c:v>20368.340844401442</c:v>
                </c:pt>
              </c:numCache>
            </c:numRef>
          </c:yVal>
          <c:smooth val="1"/>
          <c:extLst>
            <c:ext xmlns:c16="http://schemas.microsoft.com/office/drawing/2014/chart" uri="{C3380CC4-5D6E-409C-BE32-E72D297353CC}">
              <c16:uniqueId val="{00000000-3530-4701-B23B-2106A4BBFBEF}"/>
            </c:ext>
          </c:extLst>
        </c:ser>
        <c:ser>
          <c:idx val="1"/>
          <c:order val="1"/>
          <c:spPr>
            <a:ln w="19050" cap="rnd">
              <a:solidFill>
                <a:schemeClr val="accent2"/>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Forecasts'!$B$33:$V$33</c:f>
              <c:numCache>
                <c:formatCode>#,##0</c:formatCode>
                <c:ptCount val="21"/>
                <c:pt idx="0">
                  <c:v>18351</c:v>
                </c:pt>
                <c:pt idx="1">
                  <c:v>18415</c:v>
                </c:pt>
                <c:pt idx="2">
                  <c:v>18469</c:v>
                </c:pt>
                <c:pt idx="3">
                  <c:v>18545</c:v>
                </c:pt>
                <c:pt idx="4">
                  <c:v>18613</c:v>
                </c:pt>
                <c:pt idx="5">
                  <c:v>18665</c:v>
                </c:pt>
                <c:pt idx="6">
                  <c:v>18689</c:v>
                </c:pt>
                <c:pt idx="7">
                  <c:v>18690</c:v>
                </c:pt>
                <c:pt idx="8">
                  <c:v>18642</c:v>
                </c:pt>
                <c:pt idx="9">
                  <c:v>18565</c:v>
                </c:pt>
                <c:pt idx="10">
                  <c:v>18397</c:v>
                </c:pt>
                <c:pt idx="11">
                  <c:v>18261</c:v>
                </c:pt>
                <c:pt idx="12">
                  <c:v>18144</c:v>
                </c:pt>
                <c:pt idx="13">
                  <c:v>18034</c:v>
                </c:pt>
                <c:pt idx="14">
                  <c:v>17935</c:v>
                </c:pt>
                <c:pt idx="15">
                  <c:v>17848</c:v>
                </c:pt>
                <c:pt idx="16">
                  <c:v>17772</c:v>
                </c:pt>
                <c:pt idx="17">
                  <c:v>17708</c:v>
                </c:pt>
                <c:pt idx="18">
                  <c:v>17654</c:v>
                </c:pt>
                <c:pt idx="19">
                  <c:v>17608</c:v>
                </c:pt>
                <c:pt idx="20">
                  <c:v>17585.400000000001</c:v>
                </c:pt>
              </c:numCache>
            </c:numRef>
          </c:yVal>
          <c:smooth val="1"/>
          <c:extLst>
            <c:ext xmlns:c16="http://schemas.microsoft.com/office/drawing/2014/chart" uri="{C3380CC4-5D6E-409C-BE32-E72D297353CC}">
              <c16:uniqueId val="{00000001-3530-4701-B23B-2106A4BBFBEF}"/>
            </c:ext>
          </c:extLst>
        </c:ser>
        <c:ser>
          <c:idx val="2"/>
          <c:order val="2"/>
          <c:spPr>
            <a:ln w="19050" cap="rnd">
              <a:solidFill>
                <a:schemeClr val="accent3"/>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Forecasts'!$B$42:$V$42</c:f>
              <c:numCache>
                <c:formatCode>#,##0</c:formatCode>
                <c:ptCount val="21"/>
                <c:pt idx="0">
                  <c:v>17802.955598895758</c:v>
                </c:pt>
                <c:pt idx="1">
                  <c:v>17760.454016592288</c:v>
                </c:pt>
                <c:pt idx="2">
                  <c:v>17548.815895640582</c:v>
                </c:pt>
                <c:pt idx="3">
                  <c:v>17497.559603457918</c:v>
                </c:pt>
                <c:pt idx="4">
                  <c:v>17484.481085970194</c:v>
                </c:pt>
                <c:pt idx="5">
                  <c:v>17394.208194116341</c:v>
                </c:pt>
                <c:pt idx="6">
                  <c:v>17198.709497766653</c:v>
                </c:pt>
                <c:pt idx="7">
                  <c:v>17126.990325135437</c:v>
                </c:pt>
                <c:pt idx="8">
                  <c:v>16956.516779859787</c:v>
                </c:pt>
                <c:pt idx="9">
                  <c:v>16768.968229279311</c:v>
                </c:pt>
                <c:pt idx="10">
                  <c:v>16587.002063407406</c:v>
                </c:pt>
                <c:pt idx="11">
                  <c:v>16481.807785249599</c:v>
                </c:pt>
                <c:pt idx="12">
                  <c:v>16396.078612945501</c:v>
                </c:pt>
                <c:pt idx="13">
                  <c:v>16432.062434722346</c:v>
                </c:pt>
                <c:pt idx="14">
                  <c:v>16450.009301637361</c:v>
                </c:pt>
                <c:pt idx="15">
                  <c:v>16309.927339246331</c:v>
                </c:pt>
                <c:pt idx="16">
                  <c:v>16136.599908522729</c:v>
                </c:pt>
                <c:pt idx="17">
                  <c:v>16188.277217475452</c:v>
                </c:pt>
                <c:pt idx="18">
                  <c:v>16087.478858892873</c:v>
                </c:pt>
                <c:pt idx="19">
                  <c:v>16009.208866900444</c:v>
                </c:pt>
                <c:pt idx="20">
                  <c:v>15959.119626840849</c:v>
                </c:pt>
              </c:numCache>
            </c:numRef>
          </c:yVal>
          <c:smooth val="1"/>
          <c:extLst>
            <c:ext xmlns:c16="http://schemas.microsoft.com/office/drawing/2014/chart" uri="{C3380CC4-5D6E-409C-BE32-E72D297353CC}">
              <c16:uniqueId val="{00000002-3530-4701-B23B-2106A4BBFBEF}"/>
            </c:ext>
          </c:extLst>
        </c:ser>
        <c:dLbls>
          <c:showLegendKey val="0"/>
          <c:showVal val="0"/>
          <c:showCatName val="0"/>
          <c:showSerName val="0"/>
          <c:showPercent val="0"/>
          <c:showBubbleSize val="0"/>
        </c:dLbls>
        <c:axId val="2050306639"/>
        <c:axId val="788428767"/>
      </c:scatterChart>
      <c:valAx>
        <c:axId val="2050306639"/>
        <c:scaling>
          <c:orientation val="minMax"/>
          <c:max val="2038"/>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8428767"/>
        <c:crosses val="autoZero"/>
        <c:crossBetween val="midCat"/>
      </c:valAx>
      <c:valAx>
        <c:axId val="78842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030663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IRP Baseline vs Efficiency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Forecasts'!$B$19:$V$19</c:f>
              <c:numCache>
                <c:formatCode>#,##0</c:formatCode>
                <c:ptCount val="21"/>
                <c:pt idx="0">
                  <c:v>6706.8574296152492</c:v>
                </c:pt>
                <c:pt idx="1">
                  <c:v>6817.4859429750468</c:v>
                </c:pt>
                <c:pt idx="2">
                  <c:v>6856.8295689339393</c:v>
                </c:pt>
                <c:pt idx="3">
                  <c:v>6907.0758779480739</c:v>
                </c:pt>
                <c:pt idx="4">
                  <c:v>7034.7693793456629</c:v>
                </c:pt>
                <c:pt idx="5">
                  <c:v>6971.1834757329207</c:v>
                </c:pt>
                <c:pt idx="6">
                  <c:v>6991.5684495645928</c:v>
                </c:pt>
                <c:pt idx="7">
                  <c:v>7077.7351679147287</c:v>
                </c:pt>
                <c:pt idx="8">
                  <c:v>7098.9010493995984</c:v>
                </c:pt>
                <c:pt idx="9">
                  <c:v>7066.657232278053</c:v>
                </c:pt>
                <c:pt idx="10">
                  <c:v>6993.9202821068875</c:v>
                </c:pt>
                <c:pt idx="11">
                  <c:v>6944.6108467618242</c:v>
                </c:pt>
                <c:pt idx="12">
                  <c:v>6916.508665185439</c:v>
                </c:pt>
                <c:pt idx="13">
                  <c:v>6950.6844674349895</c:v>
                </c:pt>
                <c:pt idx="14">
                  <c:v>6988.3639183601945</c:v>
                </c:pt>
                <c:pt idx="15">
                  <c:v>6836.7548113902631</c:v>
                </c:pt>
                <c:pt idx="16">
                  <c:v>6887.8512185598838</c:v>
                </c:pt>
                <c:pt idx="17">
                  <c:v>6807.6275602701289</c:v>
                </c:pt>
                <c:pt idx="18">
                  <c:v>6900.0677615784753</c:v>
                </c:pt>
                <c:pt idx="19">
                  <c:v>6657.4680119091845</c:v>
                </c:pt>
                <c:pt idx="20">
                  <c:v>6725.9108117104743</c:v>
                </c:pt>
              </c:numCache>
            </c:numRef>
          </c:yVal>
          <c:smooth val="1"/>
          <c:extLst>
            <c:ext xmlns:c16="http://schemas.microsoft.com/office/drawing/2014/chart" uri="{C3380CC4-5D6E-409C-BE32-E72D297353CC}">
              <c16:uniqueId val="{00000000-594B-49CF-A08D-734D0D84921E}"/>
            </c:ext>
          </c:extLst>
        </c:ser>
        <c:ser>
          <c:idx val="1"/>
          <c:order val="1"/>
          <c:spPr>
            <a:ln w="19050" cap="rnd">
              <a:solidFill>
                <a:schemeClr val="accent2"/>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Forecasts'!$B$28:$V$28</c:f>
              <c:numCache>
                <c:formatCode>#,##0</c:formatCode>
                <c:ptCount val="21"/>
                <c:pt idx="0">
                  <c:v>6548.8704746003232</c:v>
                </c:pt>
                <c:pt idx="1">
                  <c:v>6543.0670838536125</c:v>
                </c:pt>
                <c:pt idx="2">
                  <c:v>6533.4821559001857</c:v>
                </c:pt>
                <c:pt idx="3">
                  <c:v>6532.1742597750181</c:v>
                </c:pt>
                <c:pt idx="4">
                  <c:v>6530.1185113464207</c:v>
                </c:pt>
                <c:pt idx="5">
                  <c:v>6523.9394330959913</c:v>
                </c:pt>
                <c:pt idx="6">
                  <c:v>6507.6707612834625</c:v>
                </c:pt>
                <c:pt idx="7">
                  <c:v>6484.2397527818048</c:v>
                </c:pt>
                <c:pt idx="8">
                  <c:v>6443.6232199046653</c:v>
                </c:pt>
                <c:pt idx="9">
                  <c:v>6394.8677960285831</c:v>
                </c:pt>
                <c:pt idx="10">
                  <c:v>6312.1525191343326</c:v>
                </c:pt>
                <c:pt idx="11">
                  <c:v>6240.8247212236038</c:v>
                </c:pt>
                <c:pt idx="12">
                  <c:v>6176.5115737203123</c:v>
                </c:pt>
                <c:pt idx="13">
                  <c:v>6114.9914870297844</c:v>
                </c:pt>
                <c:pt idx="14">
                  <c:v>6057.360769846332</c:v>
                </c:pt>
                <c:pt idx="15">
                  <c:v>6004.2615690520533</c:v>
                </c:pt>
                <c:pt idx="16">
                  <c:v>5955.5169509791294</c:v>
                </c:pt>
                <c:pt idx="17">
                  <c:v>5911.248954614638</c:v>
                </c:pt>
                <c:pt idx="18">
                  <c:v>5870.7648202702221</c:v>
                </c:pt>
                <c:pt idx="19">
                  <c:v>5834.9349060977875</c:v>
                </c:pt>
                <c:pt idx="20">
                  <c:v>5806.9448509235799</c:v>
                </c:pt>
              </c:numCache>
            </c:numRef>
          </c:yVal>
          <c:smooth val="1"/>
          <c:extLst>
            <c:ext xmlns:c16="http://schemas.microsoft.com/office/drawing/2014/chart" uri="{C3380CC4-5D6E-409C-BE32-E72D297353CC}">
              <c16:uniqueId val="{00000001-594B-49CF-A08D-734D0D84921E}"/>
            </c:ext>
          </c:extLst>
        </c:ser>
        <c:ser>
          <c:idx val="2"/>
          <c:order val="2"/>
          <c:spPr>
            <a:ln w="19050" cap="rnd">
              <a:solidFill>
                <a:schemeClr val="accent3"/>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Forecasts'!$B$37:$V$37</c:f>
              <c:numCache>
                <c:formatCode>#,##0</c:formatCode>
                <c:ptCount val="21"/>
                <c:pt idx="0">
                  <c:v>6353.2913891465832</c:v>
                </c:pt>
                <c:pt idx="1">
                  <c:v>6310.4991621102727</c:v>
                </c:pt>
                <c:pt idx="2">
                  <c:v>6207.9633716684866</c:v>
                </c:pt>
                <c:pt idx="3">
                  <c:v>6163.2304368070627</c:v>
                </c:pt>
                <c:pt idx="4">
                  <c:v>6134.192961950268</c:v>
                </c:pt>
                <c:pt idx="5">
                  <c:v>6079.762161536406</c:v>
                </c:pt>
                <c:pt idx="6">
                  <c:v>5988.7387730977698</c:v>
                </c:pt>
                <c:pt idx="7">
                  <c:v>5941.9749337481308</c:v>
                </c:pt>
                <c:pt idx="8">
                  <c:v>5861.0345054933805</c:v>
                </c:pt>
                <c:pt idx="9">
                  <c:v>5776.209798117141</c:v>
                </c:pt>
                <c:pt idx="10">
                  <c:v>5691.1282741437972</c:v>
                </c:pt>
                <c:pt idx="11">
                  <c:v>5632.7733134352638</c:v>
                </c:pt>
                <c:pt idx="12">
                  <c:v>5581.4908132983892</c:v>
                </c:pt>
                <c:pt idx="13">
                  <c:v>5571.8044750287827</c:v>
                </c:pt>
                <c:pt idx="14">
                  <c:v>5555.8205189487271</c:v>
                </c:pt>
                <c:pt idx="15">
                  <c:v>5486.8371759899237</c:v>
                </c:pt>
                <c:pt idx="16">
                  <c:v>5407.4833607008422</c:v>
                </c:pt>
                <c:pt idx="17">
                  <c:v>5403.9381510511475</c:v>
                </c:pt>
                <c:pt idx="18">
                  <c:v>5349.8246817508343</c:v>
                </c:pt>
                <c:pt idx="19">
                  <c:v>5305.1278757659929</c:v>
                </c:pt>
                <c:pt idx="20">
                  <c:v>5269.9243430548577</c:v>
                </c:pt>
              </c:numCache>
            </c:numRef>
          </c:yVal>
          <c:smooth val="1"/>
          <c:extLst>
            <c:ext xmlns:c16="http://schemas.microsoft.com/office/drawing/2014/chart" uri="{C3380CC4-5D6E-409C-BE32-E72D297353CC}">
              <c16:uniqueId val="{00000002-594B-49CF-A08D-734D0D84921E}"/>
            </c:ext>
          </c:extLst>
        </c:ser>
        <c:ser>
          <c:idx val="3"/>
          <c:order val="3"/>
          <c:spPr>
            <a:ln w="19050" cap="rnd">
              <a:solidFill>
                <a:schemeClr val="accent4"/>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Forecasts'!$AA$29:$AU$29</c:f>
              <c:numCache>
                <c:formatCode>0</c:formatCode>
                <c:ptCount val="21"/>
                <c:pt idx="0">
                  <c:v>6526.2009746737458</c:v>
                </c:pt>
                <c:pt idx="1">
                  <c:v>6474.7510338653619</c:v>
                </c:pt>
                <c:pt idx="2">
                  <c:v>6431.256036059217</c:v>
                </c:pt>
                <c:pt idx="3">
                  <c:v>6454.5370806219644</c:v>
                </c:pt>
                <c:pt idx="4">
                  <c:v>6299.8435933215897</c:v>
                </c:pt>
                <c:pt idx="5">
                  <c:v>6222.9350340452229</c:v>
                </c:pt>
                <c:pt idx="6">
                  <c:v>6197.0665675589862</c:v>
                </c:pt>
                <c:pt idx="7">
                  <c:v>6110.9595251462488</c:v>
                </c:pt>
                <c:pt idx="8">
                  <c:v>5973.7068693105975</c:v>
                </c:pt>
                <c:pt idx="9">
                  <c:v>5798.6008139363475</c:v>
                </c:pt>
                <c:pt idx="10">
                  <c:v>5641.5653408703047</c:v>
                </c:pt>
                <c:pt idx="11">
                  <c:v>5501.1846018143797</c:v>
                </c:pt>
                <c:pt idx="12">
                  <c:v>5406.2830318600691</c:v>
                </c:pt>
                <c:pt idx="13">
                  <c:v>5311.7057341421132</c:v>
                </c:pt>
                <c:pt idx="14">
                  <c:v>5072.3618188662676</c:v>
                </c:pt>
                <c:pt idx="15">
                  <c:v>5053.598025620825</c:v>
                </c:pt>
                <c:pt idx="16">
                  <c:v>4939.1523331978715</c:v>
                </c:pt>
                <c:pt idx="17">
                  <c:v>4949.311932297941</c:v>
                </c:pt>
                <c:pt idx="18">
                  <c:v>4720.7159237664646</c:v>
                </c:pt>
                <c:pt idx="19">
                  <c:v>4736.3481735259656</c:v>
                </c:pt>
                <c:pt idx="20">
                  <c:v>4684.7441346298419</c:v>
                </c:pt>
              </c:numCache>
            </c:numRef>
          </c:yVal>
          <c:smooth val="1"/>
          <c:extLst>
            <c:ext xmlns:c16="http://schemas.microsoft.com/office/drawing/2014/chart" uri="{C3380CC4-5D6E-409C-BE32-E72D297353CC}">
              <c16:uniqueId val="{00000003-594B-49CF-A08D-734D0D84921E}"/>
            </c:ext>
          </c:extLst>
        </c:ser>
        <c:ser>
          <c:idx val="4"/>
          <c:order val="4"/>
          <c:spPr>
            <a:ln w="19050" cap="rnd">
              <a:solidFill>
                <a:schemeClr val="accent5"/>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Forecasts'!$AA$36:$AU$36</c:f>
              <c:numCache>
                <c:formatCode>0</c:formatCode>
                <c:ptCount val="21"/>
                <c:pt idx="0">
                  <c:v>6264.2432432432433</c:v>
                </c:pt>
                <c:pt idx="1">
                  <c:v>6169.9873435041391</c:v>
                </c:pt>
                <c:pt idx="2">
                  <c:v>6083.0831826401445</c:v>
                </c:pt>
                <c:pt idx="3">
                  <c:v>5992.3781488819695</c:v>
                </c:pt>
                <c:pt idx="4">
                  <c:v>5896.459775086505</c:v>
                </c:pt>
                <c:pt idx="5">
                  <c:v>5792.7703991781627</c:v>
                </c:pt>
                <c:pt idx="6">
                  <c:v>5678.272033517881</c:v>
                </c:pt>
                <c:pt idx="7">
                  <c:v>5547.9626282738545</c:v>
                </c:pt>
                <c:pt idx="8">
                  <c:v>5407.271298333857</c:v>
                </c:pt>
                <c:pt idx="9">
                  <c:v>5234.3873456790125</c:v>
                </c:pt>
                <c:pt idx="10">
                  <c:v>5070.9457533327741</c:v>
                </c:pt>
                <c:pt idx="11">
                  <c:v>4913.5638629283485</c:v>
                </c:pt>
                <c:pt idx="12">
                  <c:v>4757.6480836236933</c:v>
                </c:pt>
                <c:pt idx="13">
                  <c:v>4605.4613397305775</c:v>
                </c:pt>
                <c:pt idx="14">
                  <c:v>4455.7284162378501</c:v>
                </c:pt>
                <c:pt idx="15">
                  <c:v>4370.9918691222574</c:v>
                </c:pt>
                <c:pt idx="16">
                  <c:v>4290.3324272626605</c:v>
                </c:pt>
                <c:pt idx="17">
                  <c:v>4212.6904293843763</c:v>
                </c:pt>
                <c:pt idx="18">
                  <c:v>4138.5470975972785</c:v>
                </c:pt>
                <c:pt idx="19">
                  <c:v>4021.6121621056368</c:v>
                </c:pt>
                <c:pt idx="20">
                  <c:v>3946.884809789055</c:v>
                </c:pt>
              </c:numCache>
            </c:numRef>
          </c:yVal>
          <c:smooth val="1"/>
          <c:extLst>
            <c:ext xmlns:c16="http://schemas.microsoft.com/office/drawing/2014/chart" uri="{C3380CC4-5D6E-409C-BE32-E72D297353CC}">
              <c16:uniqueId val="{00000004-594B-49CF-A08D-734D0D84921E}"/>
            </c:ext>
          </c:extLst>
        </c:ser>
        <c:ser>
          <c:idx val="5"/>
          <c:order val="5"/>
          <c:spPr>
            <a:ln w="19050" cap="rnd">
              <a:solidFill>
                <a:schemeClr val="accent6"/>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Forecasts'!$AA$43:$AU$43</c:f>
              <c:numCache>
                <c:formatCode>0</c:formatCode>
                <c:ptCount val="21"/>
                <c:pt idx="0">
                  <c:v>6041.8739792636525</c:v>
                </c:pt>
                <c:pt idx="1">
                  <c:v>5863.1131012706091</c:v>
                </c:pt>
                <c:pt idx="2">
                  <c:v>5739.9869686390903</c:v>
                </c:pt>
                <c:pt idx="3">
                  <c:v>5629.8589868290373</c:v>
                </c:pt>
                <c:pt idx="4">
                  <c:v>5495.6263287264583</c:v>
                </c:pt>
                <c:pt idx="5">
                  <c:v>5332.0011657830109</c:v>
                </c:pt>
                <c:pt idx="6">
                  <c:v>5204.5161731936932</c:v>
                </c:pt>
                <c:pt idx="7">
                  <c:v>5047.4265192054163</c:v>
                </c:pt>
                <c:pt idx="8">
                  <c:v>4885.0287501490002</c:v>
                </c:pt>
                <c:pt idx="9">
                  <c:v>4720.7702622917777</c:v>
                </c:pt>
                <c:pt idx="10">
                  <c:v>4578.1379277321794</c:v>
                </c:pt>
                <c:pt idx="11">
                  <c:v>4441.5964098433305</c:v>
                </c:pt>
                <c:pt idx="12">
                  <c:v>4335.9928617033229</c:v>
                </c:pt>
                <c:pt idx="13">
                  <c:v>4224.7182727072714</c:v>
                </c:pt>
                <c:pt idx="14">
                  <c:v>4072.6682721808024</c:v>
                </c:pt>
                <c:pt idx="15">
                  <c:v>3969.7359289471269</c:v>
                </c:pt>
                <c:pt idx="16">
                  <c:v>3923.1573806282204</c:v>
                </c:pt>
                <c:pt idx="17">
                  <c:v>3840.0209708097627</c:v>
                </c:pt>
                <c:pt idx="18">
                  <c:v>3764.0756908928361</c:v>
                </c:pt>
                <c:pt idx="19">
                  <c:v>3686.58349178751</c:v>
                </c:pt>
                <c:pt idx="20">
                  <c:v>3624.8318188757225</c:v>
                </c:pt>
              </c:numCache>
            </c:numRef>
          </c:yVal>
          <c:smooth val="1"/>
          <c:extLst>
            <c:ext xmlns:c16="http://schemas.microsoft.com/office/drawing/2014/chart" uri="{C3380CC4-5D6E-409C-BE32-E72D297353CC}">
              <c16:uniqueId val="{00000005-594B-49CF-A08D-734D0D84921E}"/>
            </c:ext>
          </c:extLst>
        </c:ser>
        <c:dLbls>
          <c:showLegendKey val="0"/>
          <c:showVal val="0"/>
          <c:showCatName val="0"/>
          <c:showSerName val="0"/>
          <c:showPercent val="0"/>
          <c:showBubbleSize val="0"/>
        </c:dLbls>
        <c:axId val="483032144"/>
        <c:axId val="274003264"/>
      </c:scatterChart>
      <c:valAx>
        <c:axId val="4830321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4003264"/>
        <c:crosses val="autoZero"/>
        <c:crossBetween val="midCat"/>
      </c:valAx>
      <c:valAx>
        <c:axId val="27400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0321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FFE-45A0-B65D-D2E1823BAF9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FFE-45A0-B65D-D2E1823BAF9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5C1B-4684-B18C-60A0B30511E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2-5C1B-4684-B18C-60A0B30511E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5C1B-4684-B18C-60A0B30511E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FFE-45A0-B65D-D2E1823BAF9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FFE-45A0-B65D-D2E1823BAF9A}"/>
              </c:ext>
            </c:extLst>
          </c:dPt>
          <c:dLbls>
            <c:dLbl>
              <c:idx val="2"/>
              <c:layout>
                <c:manualLayout>
                  <c:x val="5.9315069991251093E-2"/>
                  <c:y val="-4.007521992343034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1B-4684-B18C-60A0B30511E2}"/>
                </c:ext>
              </c:extLst>
            </c:dLbl>
            <c:dLbl>
              <c:idx val="3"/>
              <c:layout>
                <c:manualLayout>
                  <c:x val="-2.2169838145231845E-2"/>
                  <c:y val="0.1162906582472882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1B-4684-B18C-60A0B30511E2}"/>
                </c:ext>
              </c:extLst>
            </c:dLbl>
            <c:dLbl>
              <c:idx val="4"/>
              <c:layout>
                <c:manualLayout>
                  <c:x val="9.7896434820647416E-2"/>
                  <c:y val="-0.2132918930651389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1B-4684-B18C-60A0B30511E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Charts!$A$47:$A$53</c:f>
              <c:strCache>
                <c:ptCount val="7"/>
                <c:pt idx="0">
                  <c:v>HVAC</c:v>
                </c:pt>
                <c:pt idx="1">
                  <c:v>Lighting</c:v>
                </c:pt>
                <c:pt idx="2">
                  <c:v>Water Heating </c:v>
                </c:pt>
                <c:pt idx="3">
                  <c:v>Refrigeration</c:v>
                </c:pt>
                <c:pt idx="4">
                  <c:v>Envelope</c:v>
                </c:pt>
                <c:pt idx="5">
                  <c:v>Sensors and Controls</c:v>
                </c:pt>
                <c:pt idx="6">
                  <c:v>Equipment</c:v>
                </c:pt>
              </c:strCache>
            </c:strRef>
          </c:cat>
          <c:val>
            <c:numRef>
              <c:f>Charts!$B$47:$B$53</c:f>
              <c:numCache>
                <c:formatCode>_(* #,##0_);_(* \(#,##0\);_(* "-"??_);_(@_)</c:formatCode>
                <c:ptCount val="7"/>
                <c:pt idx="0">
                  <c:v>150</c:v>
                </c:pt>
                <c:pt idx="1">
                  <c:v>150</c:v>
                </c:pt>
                <c:pt idx="2">
                  <c:v>20</c:v>
                </c:pt>
                <c:pt idx="3">
                  <c:v>3</c:v>
                </c:pt>
                <c:pt idx="4">
                  <c:v>558</c:v>
                </c:pt>
                <c:pt idx="5">
                  <c:v>142</c:v>
                </c:pt>
                <c:pt idx="6">
                  <c:v>20</c:v>
                </c:pt>
              </c:numCache>
            </c:numRef>
          </c:val>
          <c:extLst>
            <c:ext xmlns:c16="http://schemas.microsoft.com/office/drawing/2014/chart" uri="{C3380CC4-5D6E-409C-BE32-E72D297353CC}">
              <c16:uniqueId val="{00000000-5C1B-4684-B18C-60A0B30511E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B0E-4347-AEBF-E62210C3E1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3BD9-41D1-B33C-F3FE7BF166D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1-3BD9-41D1-B33C-F3FE7BF166D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2-3BD9-41D1-B33C-F3FE7BF166D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6-3BD9-41D1-B33C-F3FE7BF166D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3-3BD9-41D1-B33C-F3FE7BF166D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4-3BD9-41D1-B33C-F3FE7BF166D3}"/>
              </c:ext>
            </c:extLst>
          </c:dPt>
          <c:dLbls>
            <c:dLbl>
              <c:idx val="1"/>
              <c:layout>
                <c:manualLayout>
                  <c:x val="-0.14999595363079615"/>
                  <c:y val="3.798155438903470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D9-41D1-B33C-F3FE7BF166D3}"/>
                </c:ext>
              </c:extLst>
            </c:dLbl>
            <c:dLbl>
              <c:idx val="2"/>
              <c:layout>
                <c:manualLayout>
                  <c:x val="2.0333989501312336E-2"/>
                  <c:y val="-0.1686592300962379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D9-41D1-B33C-F3FE7BF166D3}"/>
                </c:ext>
              </c:extLst>
            </c:dLbl>
            <c:dLbl>
              <c:idx val="3"/>
              <c:layout>
                <c:manualLayout>
                  <c:x val="-3.4262904636920386E-3"/>
                  <c:y val="5.931175269757946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D9-41D1-B33C-F3FE7BF166D3}"/>
                </c:ext>
              </c:extLst>
            </c:dLbl>
            <c:dLbl>
              <c:idx val="4"/>
              <c:layout>
                <c:manualLayout>
                  <c:x val="0.15883180227471566"/>
                  <c:y val="-0.2729961358996791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D9-41D1-B33C-F3FE7BF166D3}"/>
                </c:ext>
              </c:extLst>
            </c:dLbl>
            <c:dLbl>
              <c:idx val="5"/>
              <c:layout>
                <c:manualLayout>
                  <c:x val="0.11388396762904637"/>
                  <c:y val="0.1666666666666666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D9-41D1-B33C-F3FE7BF166D3}"/>
                </c:ext>
              </c:extLst>
            </c:dLbl>
            <c:dLbl>
              <c:idx val="6"/>
              <c:layout>
                <c:manualLayout>
                  <c:x val="2.8374890638670166E-3"/>
                  <c:y val="6.944444444444444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D9-41D1-B33C-F3FE7BF166D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Charts!$A$64:$A$70</c:f>
              <c:strCache>
                <c:ptCount val="7"/>
                <c:pt idx="0">
                  <c:v>HVAC</c:v>
                </c:pt>
                <c:pt idx="1">
                  <c:v>Lighting</c:v>
                </c:pt>
                <c:pt idx="2">
                  <c:v>Water Heating </c:v>
                </c:pt>
                <c:pt idx="3">
                  <c:v>Refrigeration</c:v>
                </c:pt>
                <c:pt idx="4">
                  <c:v>Envelope</c:v>
                </c:pt>
                <c:pt idx="5">
                  <c:v>Sensors and Controls</c:v>
                </c:pt>
                <c:pt idx="6">
                  <c:v>Equipment</c:v>
                </c:pt>
              </c:strCache>
            </c:strRef>
          </c:cat>
          <c:val>
            <c:numRef>
              <c:f>Charts!$C$64:$C$70</c:f>
              <c:numCache>
                <c:formatCode>#,##0</c:formatCode>
                <c:ptCount val="7"/>
                <c:pt idx="0">
                  <c:v>747.52113096473306</c:v>
                </c:pt>
                <c:pt idx="1">
                  <c:v>749.75740784070354</c:v>
                </c:pt>
                <c:pt idx="2">
                  <c:v>60</c:v>
                </c:pt>
                <c:pt idx="3">
                  <c:v>15.284768600186419</c:v>
                </c:pt>
                <c:pt idx="4">
                  <c:v>2785.375939076841</c:v>
                </c:pt>
                <c:pt idx="5">
                  <c:v>712.28807041279765</c:v>
                </c:pt>
                <c:pt idx="6">
                  <c:v>50</c:v>
                </c:pt>
              </c:numCache>
            </c:numRef>
          </c:val>
          <c:extLst>
            <c:ext xmlns:c16="http://schemas.microsoft.com/office/drawing/2014/chart" uri="{C3380CC4-5D6E-409C-BE32-E72D297353CC}">
              <c16:uniqueId val="{00000000-3BD9-41D1-B33C-F3FE7BF166D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9894171829529"/>
          <c:y val="3.6454018227009111E-2"/>
          <c:w val="0.77409242350387897"/>
          <c:h val="0.81393994350540477"/>
        </c:manualLayout>
      </c:layout>
      <c:lineChart>
        <c:grouping val="standard"/>
        <c:varyColors val="0"/>
        <c:ser>
          <c:idx val="0"/>
          <c:order val="0"/>
          <c:tx>
            <c:v>High</c:v>
          </c:tx>
          <c:spPr>
            <a:ln w="25400" cap="rnd">
              <a:solidFill>
                <a:srgbClr val="C00000"/>
              </a:solidFill>
              <a:round/>
            </a:ln>
            <a:effectLst/>
          </c:spPr>
          <c:marker>
            <c:symbol val="none"/>
          </c:marker>
          <c:cat>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'Consumption Forecasts'!$B$24:$V$24</c:f>
              <c:numCache>
                <c:formatCode>#,##0</c:formatCode>
                <c:ptCount val="21"/>
                <c:pt idx="0">
                  <c:v>18793.705138653066</c:v>
                </c:pt>
                <c:pt idx="1">
                  <c:v>19187.332489634959</c:v>
                </c:pt>
                <c:pt idx="2">
                  <c:v>19383.046021527334</c:v>
                </c:pt>
                <c:pt idx="3">
                  <c:v>19609.354720576419</c:v>
                </c:pt>
                <c:pt idx="4">
                  <c:v>20051.42207300663</c:v>
                </c:pt>
                <c:pt idx="5">
                  <c:v>19944.565842299176</c:v>
                </c:pt>
                <c:pt idx="6">
                  <c:v>20078.677540248278</c:v>
                </c:pt>
                <c:pt idx="7">
                  <c:v>20400.675380884179</c:v>
                </c:pt>
                <c:pt idx="8">
                  <c:v>20537.779576265366</c:v>
                </c:pt>
                <c:pt idx="9">
                  <c:v>20515.278142062103</c:v>
                </c:pt>
                <c:pt idx="10">
                  <c:v>20384.037147373336</c:v>
                </c:pt>
                <c:pt idx="11">
                  <c:v>20320.317319832313</c:v>
                </c:pt>
                <c:pt idx="12">
                  <c:v>20317.801031098214</c:v>
                </c:pt>
                <c:pt idx="13">
                  <c:v>20498.580243585555</c:v>
                </c:pt>
                <c:pt idx="14">
                  <c:v>20691.570411278262</c:v>
                </c:pt>
                <c:pt idx="15">
                  <c:v>20322.632262164785</c:v>
                </c:pt>
                <c:pt idx="16">
                  <c:v>20554.200897055802</c:v>
                </c:pt>
                <c:pt idx="17">
                  <c:v>20393.231576409256</c:v>
                </c:pt>
                <c:pt idx="18">
                  <c:v>20749.220926431099</c:v>
                </c:pt>
                <c:pt idx="19">
                  <c:v>20090.146443826045</c:v>
                </c:pt>
                <c:pt idx="20">
                  <c:v>20368.340844401442</c:v>
                </c:pt>
              </c:numCache>
            </c:numRef>
          </c:val>
          <c:smooth val="1"/>
          <c:extLst>
            <c:ext xmlns:c16="http://schemas.microsoft.com/office/drawing/2014/chart" uri="{C3380CC4-5D6E-409C-BE32-E72D297353CC}">
              <c16:uniqueId val="{00000000-7B4A-4C42-AAD6-34756C313785}"/>
            </c:ext>
          </c:extLst>
        </c:ser>
        <c:ser>
          <c:idx val="1"/>
          <c:order val="1"/>
          <c:tx>
            <c:v>Medium</c:v>
          </c:tx>
          <c:spPr>
            <a:ln w="25400" cap="rnd">
              <a:solidFill>
                <a:schemeClr val="accent2"/>
              </a:solidFill>
              <a:round/>
            </a:ln>
            <a:effectLst/>
          </c:spPr>
          <c:marker>
            <c:symbol val="none"/>
          </c:marker>
          <c:cat>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'Consumption Forecasts'!$B$33:$V$33</c:f>
              <c:numCache>
                <c:formatCode>#,##0</c:formatCode>
                <c:ptCount val="21"/>
                <c:pt idx="0">
                  <c:v>18351</c:v>
                </c:pt>
                <c:pt idx="1">
                  <c:v>18415</c:v>
                </c:pt>
                <c:pt idx="2">
                  <c:v>18469</c:v>
                </c:pt>
                <c:pt idx="3">
                  <c:v>18545</c:v>
                </c:pt>
                <c:pt idx="4">
                  <c:v>18613</c:v>
                </c:pt>
                <c:pt idx="5">
                  <c:v>18665</c:v>
                </c:pt>
                <c:pt idx="6">
                  <c:v>18689</c:v>
                </c:pt>
                <c:pt idx="7">
                  <c:v>18690</c:v>
                </c:pt>
                <c:pt idx="8">
                  <c:v>18642</c:v>
                </c:pt>
                <c:pt idx="9">
                  <c:v>18565</c:v>
                </c:pt>
                <c:pt idx="10">
                  <c:v>18397</c:v>
                </c:pt>
                <c:pt idx="11">
                  <c:v>18261</c:v>
                </c:pt>
                <c:pt idx="12">
                  <c:v>18144</c:v>
                </c:pt>
                <c:pt idx="13">
                  <c:v>18034</c:v>
                </c:pt>
                <c:pt idx="14">
                  <c:v>17935</c:v>
                </c:pt>
                <c:pt idx="15">
                  <c:v>17848</c:v>
                </c:pt>
                <c:pt idx="16">
                  <c:v>17772</c:v>
                </c:pt>
                <c:pt idx="17">
                  <c:v>17708</c:v>
                </c:pt>
                <c:pt idx="18">
                  <c:v>17654</c:v>
                </c:pt>
                <c:pt idx="19">
                  <c:v>17608</c:v>
                </c:pt>
                <c:pt idx="20">
                  <c:v>17585.400000000001</c:v>
                </c:pt>
              </c:numCache>
            </c:numRef>
          </c:val>
          <c:smooth val="1"/>
          <c:extLst>
            <c:ext xmlns:c16="http://schemas.microsoft.com/office/drawing/2014/chart" uri="{C3380CC4-5D6E-409C-BE32-E72D297353CC}">
              <c16:uniqueId val="{00000001-7B4A-4C42-AAD6-34756C313785}"/>
            </c:ext>
          </c:extLst>
        </c:ser>
        <c:ser>
          <c:idx val="2"/>
          <c:order val="2"/>
          <c:tx>
            <c:v>Low</c:v>
          </c:tx>
          <c:spPr>
            <a:ln w="25400" cap="rnd">
              <a:solidFill>
                <a:schemeClr val="accent4">
                  <a:lumMod val="75000"/>
                </a:schemeClr>
              </a:solidFill>
              <a:round/>
            </a:ln>
            <a:effectLst/>
          </c:spPr>
          <c:marker>
            <c:symbol val="none"/>
          </c:marker>
          <c:cat>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'Consumption Forecasts'!$B$42:$V$42</c:f>
              <c:numCache>
                <c:formatCode>#,##0</c:formatCode>
                <c:ptCount val="21"/>
                <c:pt idx="0">
                  <c:v>17802.955598895758</c:v>
                </c:pt>
                <c:pt idx="1">
                  <c:v>17760.454016592288</c:v>
                </c:pt>
                <c:pt idx="2">
                  <c:v>17548.815895640582</c:v>
                </c:pt>
                <c:pt idx="3">
                  <c:v>17497.559603457918</c:v>
                </c:pt>
                <c:pt idx="4">
                  <c:v>17484.481085970194</c:v>
                </c:pt>
                <c:pt idx="5">
                  <c:v>17394.208194116341</c:v>
                </c:pt>
                <c:pt idx="6">
                  <c:v>17198.709497766653</c:v>
                </c:pt>
                <c:pt idx="7">
                  <c:v>17126.990325135437</c:v>
                </c:pt>
                <c:pt idx="8">
                  <c:v>16956.516779859787</c:v>
                </c:pt>
                <c:pt idx="9">
                  <c:v>16768.968229279311</c:v>
                </c:pt>
                <c:pt idx="10">
                  <c:v>16587.002063407406</c:v>
                </c:pt>
                <c:pt idx="11">
                  <c:v>16481.807785249599</c:v>
                </c:pt>
                <c:pt idx="12">
                  <c:v>16396.078612945501</c:v>
                </c:pt>
                <c:pt idx="13">
                  <c:v>16432.062434722346</c:v>
                </c:pt>
                <c:pt idx="14">
                  <c:v>16450.009301637361</c:v>
                </c:pt>
                <c:pt idx="15">
                  <c:v>16309.927339246331</c:v>
                </c:pt>
                <c:pt idx="16">
                  <c:v>16136.599908522729</c:v>
                </c:pt>
                <c:pt idx="17">
                  <c:v>16188.277217475452</c:v>
                </c:pt>
                <c:pt idx="18">
                  <c:v>16087.478858892873</c:v>
                </c:pt>
                <c:pt idx="19">
                  <c:v>16009.208866900444</c:v>
                </c:pt>
                <c:pt idx="20">
                  <c:v>15959.119626840849</c:v>
                </c:pt>
              </c:numCache>
            </c:numRef>
          </c:val>
          <c:smooth val="1"/>
          <c:extLst>
            <c:ext xmlns:c16="http://schemas.microsoft.com/office/drawing/2014/chart" uri="{C3380CC4-5D6E-409C-BE32-E72D297353CC}">
              <c16:uniqueId val="{00000002-7B4A-4C42-AAD6-34756C313785}"/>
            </c:ext>
          </c:extLst>
        </c:ser>
        <c:dLbls>
          <c:showLegendKey val="0"/>
          <c:showVal val="0"/>
          <c:showCatName val="0"/>
          <c:showSerName val="0"/>
          <c:showPercent val="0"/>
          <c:showBubbleSize val="0"/>
        </c:dLbls>
        <c:smooth val="0"/>
        <c:axId val="783267368"/>
        <c:axId val="783272616"/>
      </c:lineChart>
      <c:catAx>
        <c:axId val="7832673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in"/>
        <c:tickLblPos val="nextTo"/>
        <c:spPr>
          <a:noFill/>
          <a:ln w="9525" cap="flat" cmpd="sng" algn="ctr">
            <a:solidFill>
              <a:schemeClr val="tx1">
                <a:alpha val="96000"/>
              </a:schemeClr>
            </a:solidFill>
            <a:round/>
          </a:ln>
          <a:effectLst/>
        </c:spPr>
        <c:txPr>
          <a:bodyPr rot="-1800000" spcFirstLastPara="1" vertOverflow="ellipsis" wrap="square" anchor="t" anchorCtr="0"/>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83272616"/>
        <c:crosses val="autoZero"/>
        <c:auto val="1"/>
        <c:lblAlgn val="ctr"/>
        <c:lblOffset val="100"/>
        <c:noMultiLvlLbl val="0"/>
      </c:catAx>
      <c:valAx>
        <c:axId val="78327261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83267368"/>
        <c:crosses val="autoZero"/>
        <c:crossBetween val="between"/>
      </c:valAx>
      <c:spPr>
        <a:noFill/>
        <a:ln w="9525">
          <a:solidFill>
            <a:sysClr val="windowText" lastClr="000000"/>
          </a:solidFill>
        </a:ln>
        <a:effectLst/>
      </c:spPr>
    </c:plotArea>
    <c:legend>
      <c:legendPos val="r"/>
      <c:layout>
        <c:manualLayout>
          <c:xMode val="edge"/>
          <c:yMode val="edge"/>
          <c:x val="0.88917278622004559"/>
          <c:y val="0.39954360717337839"/>
          <c:w val="0.11082721377995439"/>
          <c:h val="0.158570282277267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Residential</c:v>
          </c:tx>
          <c:spPr>
            <a:solidFill>
              <a:schemeClr val="accent5">
                <a:lumMod val="50000"/>
              </a:schemeClr>
            </a:solidFill>
            <a:ln w="3175">
              <a:solidFill>
                <a:sysClr val="windowText" lastClr="000000"/>
              </a:solidFill>
            </a:ln>
            <a:effectLst/>
          </c:spPr>
          <c:cat>
            <c:numRef>
              <c:f>'Consumption Forecasts'!$B$2:$V$2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'Consumption Forecasts'!$B$3:$V$3</c:f>
              <c:numCache>
                <c:formatCode>#,##0</c:formatCode>
                <c:ptCount val="21"/>
                <c:pt idx="0">
                  <c:v>6548.8704746003232</c:v>
                </c:pt>
                <c:pt idx="1">
                  <c:v>6543.0670838536125</c:v>
                </c:pt>
                <c:pt idx="2">
                  <c:v>6533.4821559001857</c:v>
                </c:pt>
                <c:pt idx="3">
                  <c:v>6532.1742597750181</c:v>
                </c:pt>
                <c:pt idx="4">
                  <c:v>6530.1185113464207</c:v>
                </c:pt>
                <c:pt idx="5">
                  <c:v>6523.9394330959913</c:v>
                </c:pt>
                <c:pt idx="6">
                  <c:v>6507.6707612834625</c:v>
                </c:pt>
                <c:pt idx="7">
                  <c:v>6484.2397527818048</c:v>
                </c:pt>
                <c:pt idx="8">
                  <c:v>6443.6232199046653</c:v>
                </c:pt>
                <c:pt idx="9">
                  <c:v>6394.8677960285831</c:v>
                </c:pt>
                <c:pt idx="10">
                  <c:v>6312.1525191343326</c:v>
                </c:pt>
                <c:pt idx="11">
                  <c:v>6240.8247212236038</c:v>
                </c:pt>
                <c:pt idx="12">
                  <c:v>6176.5115737203123</c:v>
                </c:pt>
                <c:pt idx="13">
                  <c:v>6114.9914870297844</c:v>
                </c:pt>
                <c:pt idx="14">
                  <c:v>6057.360769846332</c:v>
                </c:pt>
                <c:pt idx="15">
                  <c:v>6004.2615690520533</c:v>
                </c:pt>
                <c:pt idx="16">
                  <c:v>5955.5169509791294</c:v>
                </c:pt>
                <c:pt idx="17">
                  <c:v>5911.248954614638</c:v>
                </c:pt>
                <c:pt idx="18">
                  <c:v>5870.7648202702221</c:v>
                </c:pt>
                <c:pt idx="19">
                  <c:v>5834.9349060977875</c:v>
                </c:pt>
                <c:pt idx="20">
                  <c:v>5806.9448509235799</c:v>
                </c:pt>
              </c:numCache>
            </c:numRef>
          </c:val>
          <c:extLst>
            <c:ext xmlns:c16="http://schemas.microsoft.com/office/drawing/2014/chart" uri="{C3380CC4-5D6E-409C-BE32-E72D297353CC}">
              <c16:uniqueId val="{00000000-B7EF-41A8-9358-6121A79DFF92}"/>
            </c:ext>
          </c:extLst>
        </c:ser>
        <c:ser>
          <c:idx val="1"/>
          <c:order val="1"/>
          <c:tx>
            <c:v>Commercial</c:v>
          </c:tx>
          <c:spPr>
            <a:solidFill>
              <a:schemeClr val="accent2">
                <a:lumMod val="75000"/>
              </a:schemeClr>
            </a:solidFill>
            <a:ln w="3175">
              <a:solidFill>
                <a:sysClr val="windowText" lastClr="000000"/>
              </a:solidFill>
            </a:ln>
            <a:effectLst/>
          </c:spPr>
          <c:val>
            <c:numRef>
              <c:f>'Consumption Forecasts'!$B$5:$V$5</c:f>
              <c:numCache>
                <c:formatCode>#,##0</c:formatCode>
                <c:ptCount val="21"/>
                <c:pt idx="0">
                  <c:v>9497.1742721705814</c:v>
                </c:pt>
                <c:pt idx="1">
                  <c:v>9464.4542555829921</c:v>
                </c:pt>
                <c:pt idx="2">
                  <c:v>9414.9636763390772</c:v>
                </c:pt>
                <c:pt idx="3">
                  <c:v>9380.8953507643473</c:v>
                </c:pt>
                <c:pt idx="4">
                  <c:v>9354.523328363457</c:v>
                </c:pt>
                <c:pt idx="5">
                  <c:v>9335.8812479357166</c:v>
                </c:pt>
                <c:pt idx="6">
                  <c:v>9315.5509759371707</c:v>
                </c:pt>
                <c:pt idx="7">
                  <c:v>9308.9128383411862</c:v>
                </c:pt>
                <c:pt idx="8">
                  <c:v>9293.0553265599374</c:v>
                </c:pt>
                <c:pt idx="9">
                  <c:v>9311.8233183032207</c:v>
                </c:pt>
                <c:pt idx="10">
                  <c:v>9268.0935723745279</c:v>
                </c:pt>
                <c:pt idx="11">
                  <c:v>9231.2353877286496</c:v>
                </c:pt>
                <c:pt idx="12">
                  <c:v>9200.8575615488771</c:v>
                </c:pt>
                <c:pt idx="13">
                  <c:v>9169.3344372266056</c:v>
                </c:pt>
                <c:pt idx="14">
                  <c:v>9137.467103626097</c:v>
                </c:pt>
                <c:pt idx="15">
                  <c:v>9106.1563445978099</c:v>
                </c:pt>
                <c:pt idx="16">
                  <c:v>9075.0607363962663</c:v>
                </c:pt>
                <c:pt idx="17">
                  <c:v>9045.3590663366303</c:v>
                </c:pt>
                <c:pt idx="18">
                  <c:v>9017.0116314988518</c:v>
                </c:pt>
                <c:pt idx="19">
                  <c:v>8984.8063103417826</c:v>
                </c:pt>
                <c:pt idx="20">
                  <c:v>8960.3101268901337</c:v>
                </c:pt>
              </c:numCache>
            </c:numRef>
          </c:val>
          <c:extLst>
            <c:ext xmlns:c16="http://schemas.microsoft.com/office/drawing/2014/chart" uri="{C3380CC4-5D6E-409C-BE32-E72D297353CC}">
              <c16:uniqueId val="{00000001-B7EF-41A8-9358-6121A79DFF92}"/>
            </c:ext>
          </c:extLst>
        </c:ser>
        <c:ser>
          <c:idx val="2"/>
          <c:order val="2"/>
          <c:tx>
            <c:v>Industrial</c:v>
          </c:tx>
          <c:spPr>
            <a:solidFill>
              <a:schemeClr val="bg2">
                <a:lumMod val="75000"/>
              </a:schemeClr>
            </a:solidFill>
            <a:ln w="3175">
              <a:solidFill>
                <a:sysClr val="windowText" lastClr="000000"/>
              </a:solidFill>
            </a:ln>
            <a:effectLst/>
          </c:spPr>
          <c:val>
            <c:numRef>
              <c:f>'Consumption Forecasts'!$B$7:$V$7</c:f>
              <c:numCache>
                <c:formatCode>#,##0</c:formatCode>
                <c:ptCount val="21"/>
                <c:pt idx="0">
                  <c:v>1853.2210095348682</c:v>
                </c:pt>
                <c:pt idx="1">
                  <c:v>1954.1689718472956</c:v>
                </c:pt>
                <c:pt idx="2">
                  <c:v>2065.9151973074277</c:v>
                </c:pt>
                <c:pt idx="3">
                  <c:v>2175.4205780438515</c:v>
                </c:pt>
                <c:pt idx="4">
                  <c:v>2270.1744385375937</c:v>
                </c:pt>
                <c:pt idx="5">
                  <c:v>2345.7155481354957</c:v>
                </c:pt>
                <c:pt idx="6">
                  <c:v>2405.723700063365</c:v>
                </c:pt>
                <c:pt idx="7">
                  <c:v>2436.7682298325399</c:v>
                </c:pt>
                <c:pt idx="8">
                  <c:v>2446.4238582573348</c:v>
                </c:pt>
                <c:pt idx="9">
                  <c:v>2401.3067476820788</c:v>
                </c:pt>
                <c:pt idx="10">
                  <c:v>2363.8873136874427</c:v>
                </c:pt>
                <c:pt idx="11">
                  <c:v>2339.4211169155355</c:v>
                </c:pt>
                <c:pt idx="12">
                  <c:v>2319.9922010292112</c:v>
                </c:pt>
                <c:pt idx="13">
                  <c:v>2305.7432081733605</c:v>
                </c:pt>
                <c:pt idx="14">
                  <c:v>2298.6782754755368</c:v>
                </c:pt>
                <c:pt idx="15">
                  <c:v>2298.2298558747143</c:v>
                </c:pt>
                <c:pt idx="16">
                  <c:v>2303.9409231126579</c:v>
                </c:pt>
                <c:pt idx="17">
                  <c:v>2315.4860345586617</c:v>
                </c:pt>
                <c:pt idx="18">
                  <c:v>2331.6468854780614</c:v>
                </c:pt>
                <c:pt idx="19">
                  <c:v>2354.8481340444609</c:v>
                </c:pt>
                <c:pt idx="20">
                  <c:v>2385.3082098952568</c:v>
                </c:pt>
              </c:numCache>
            </c:numRef>
          </c:val>
          <c:extLst>
            <c:ext xmlns:c16="http://schemas.microsoft.com/office/drawing/2014/chart" uri="{C3380CC4-5D6E-409C-BE32-E72D297353CC}">
              <c16:uniqueId val="{00000002-B7EF-41A8-9358-6121A79DFF92}"/>
            </c:ext>
          </c:extLst>
        </c:ser>
        <c:ser>
          <c:idx val="3"/>
          <c:order val="3"/>
          <c:tx>
            <c:v>Street Lighting</c:v>
          </c:tx>
          <c:spPr>
            <a:solidFill>
              <a:schemeClr val="accent4"/>
            </a:solidFill>
            <a:ln w="3175">
              <a:solidFill>
                <a:sysClr val="windowText" lastClr="000000"/>
              </a:solidFill>
            </a:ln>
            <a:effectLst/>
          </c:spPr>
          <c:val>
            <c:numRef>
              <c:f>'Consumption Forecasts'!$B$9:$V$9</c:f>
              <c:numCache>
                <c:formatCode>#,##0</c:formatCode>
                <c:ptCount val="21"/>
                <c:pt idx="0">
                  <c:v>377.58416084422981</c:v>
                </c:pt>
                <c:pt idx="1">
                  <c:v>378.9010038660831</c:v>
                </c:pt>
                <c:pt idx="2">
                  <c:v>380.01209016577189</c:v>
                </c:pt>
                <c:pt idx="3">
                  <c:v>381.57584125422278</c:v>
                </c:pt>
                <c:pt idx="4">
                  <c:v>382.97498696494199</c:v>
                </c:pt>
                <c:pt idx="5">
                  <c:v>384.04492192019785</c:v>
                </c:pt>
                <c:pt idx="6">
                  <c:v>384.53873805339276</c:v>
                </c:pt>
                <c:pt idx="7">
                  <c:v>384.55931372560917</c:v>
                </c:pt>
                <c:pt idx="8">
                  <c:v>383.57168145921929</c:v>
                </c:pt>
                <c:pt idx="9">
                  <c:v>381.987354698552</c:v>
                </c:pt>
                <c:pt idx="10">
                  <c:v>378.53064176618687</c:v>
                </c:pt>
                <c:pt idx="11">
                  <c:v>375.73235034474862</c:v>
                </c:pt>
                <c:pt idx="12">
                  <c:v>373.32499669542284</c:v>
                </c:pt>
                <c:pt idx="13">
                  <c:v>371.06167275161249</c:v>
                </c:pt>
                <c:pt idx="14">
                  <c:v>369.02468120218316</c:v>
                </c:pt>
                <c:pt idx="15">
                  <c:v>367.23459771935114</c:v>
                </c:pt>
                <c:pt idx="16">
                  <c:v>365.67084663090031</c:v>
                </c:pt>
                <c:pt idx="17">
                  <c:v>364.35400360904697</c:v>
                </c:pt>
                <c:pt idx="18">
                  <c:v>363.24291730935818</c:v>
                </c:pt>
                <c:pt idx="19">
                  <c:v>362.27058711461586</c:v>
                </c:pt>
                <c:pt idx="20">
                  <c:v>361.79111721010747</c:v>
                </c:pt>
              </c:numCache>
            </c:numRef>
          </c:val>
          <c:extLst>
            <c:ext xmlns:c16="http://schemas.microsoft.com/office/drawing/2014/chart" uri="{C3380CC4-5D6E-409C-BE32-E72D297353CC}">
              <c16:uniqueId val="{00000003-B7EF-41A8-9358-6121A79DFF92}"/>
            </c:ext>
          </c:extLst>
        </c:ser>
        <c:dLbls>
          <c:showLegendKey val="0"/>
          <c:showVal val="0"/>
          <c:showCatName val="0"/>
          <c:showSerName val="0"/>
          <c:showPercent val="0"/>
          <c:showBubbleSize val="0"/>
        </c:dLbls>
        <c:axId val="2106454031"/>
        <c:axId val="537605759"/>
      </c:areaChart>
      <c:catAx>
        <c:axId val="210645403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Year</a:t>
                </a:r>
              </a:p>
            </c:rich>
          </c:tx>
          <c:layout>
            <c:manualLayout>
              <c:xMode val="edge"/>
              <c:yMode val="edge"/>
              <c:x val="0.51279794627636499"/>
              <c:y val="0.9188773155903935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7605759"/>
        <c:crosses val="autoZero"/>
        <c:auto val="1"/>
        <c:lblAlgn val="ctr"/>
        <c:lblOffset val="100"/>
        <c:noMultiLvlLbl val="0"/>
      </c:catAx>
      <c:valAx>
        <c:axId val="537605759"/>
        <c:scaling>
          <c:orientation val="minMax"/>
          <c:max val="2100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06454031"/>
        <c:crosses val="autoZero"/>
        <c:crossBetween val="midCat"/>
      </c:valAx>
      <c:spPr>
        <a:noFill/>
        <a:ln w="9525">
          <a:solidFill>
            <a:sysClr val="windowText" lastClr="000000"/>
          </a:solidFill>
        </a:ln>
        <a:effectLst/>
      </c:spPr>
    </c:plotArea>
    <c:legend>
      <c:legendPos val="t"/>
      <c:layout>
        <c:manualLayout>
          <c:xMode val="edge"/>
          <c:yMode val="edge"/>
          <c:x val="0.28532203504478948"/>
          <c:y val="2.0756755343230109E-2"/>
          <c:w val="0.50431609484351236"/>
          <c:h val="5.59837177672623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258079569780985E-2"/>
          <c:y val="9.1977243984450313E-2"/>
          <c:w val="0.70878364415148476"/>
          <c:h val="0.79695224567881651"/>
        </c:manualLayout>
      </c:layout>
      <c:scatterChart>
        <c:scatterStyle val="smoothMarker"/>
        <c:varyColors val="0"/>
        <c:ser>
          <c:idx val="0"/>
          <c:order val="0"/>
          <c:tx>
            <c:v>All Sectors BAU</c:v>
          </c:tx>
          <c:spPr>
            <a:ln w="19050" cap="rnd">
              <a:solidFill>
                <a:schemeClr val="tx1"/>
              </a:solidFill>
              <a:round/>
            </a:ln>
            <a:effectLst/>
          </c:spPr>
          <c:marker>
            <c:symbol val="none"/>
          </c:marker>
          <c:xVal>
            <c:numRef>
              <c:f>'Consumption Forecasts'!$B$2:$V$2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Forecasts'!$B$13:$V$13</c:f>
              <c:numCache>
                <c:formatCode>#,##0</c:formatCode>
                <c:ptCount val="21"/>
                <c:pt idx="0">
                  <c:v>18351</c:v>
                </c:pt>
                <c:pt idx="1">
                  <c:v>18414.999999999996</c:v>
                </c:pt>
                <c:pt idx="2">
                  <c:v>18469</c:v>
                </c:pt>
                <c:pt idx="3">
                  <c:v>18545</c:v>
                </c:pt>
                <c:pt idx="4">
                  <c:v>18612.999999999996</c:v>
                </c:pt>
                <c:pt idx="5">
                  <c:v>18665</c:v>
                </c:pt>
                <c:pt idx="6">
                  <c:v>18689</c:v>
                </c:pt>
                <c:pt idx="7">
                  <c:v>18689.999999999996</c:v>
                </c:pt>
                <c:pt idx="8">
                  <c:v>18642</c:v>
                </c:pt>
                <c:pt idx="9">
                  <c:v>18565</c:v>
                </c:pt>
                <c:pt idx="10">
                  <c:v>18397</c:v>
                </c:pt>
                <c:pt idx="11">
                  <c:v>18261</c:v>
                </c:pt>
                <c:pt idx="12">
                  <c:v>18143.999999999996</c:v>
                </c:pt>
                <c:pt idx="13">
                  <c:v>18034</c:v>
                </c:pt>
                <c:pt idx="14">
                  <c:v>17935.000000000004</c:v>
                </c:pt>
                <c:pt idx="15">
                  <c:v>17848</c:v>
                </c:pt>
                <c:pt idx="16">
                  <c:v>17772.000000000004</c:v>
                </c:pt>
                <c:pt idx="17">
                  <c:v>17708</c:v>
                </c:pt>
                <c:pt idx="18">
                  <c:v>17654</c:v>
                </c:pt>
                <c:pt idx="19">
                  <c:v>17608</c:v>
                </c:pt>
                <c:pt idx="20">
                  <c:v>17585.400000000001</c:v>
                </c:pt>
              </c:numCache>
            </c:numRef>
          </c:yVal>
          <c:smooth val="1"/>
          <c:extLst>
            <c:ext xmlns:c16="http://schemas.microsoft.com/office/drawing/2014/chart" uri="{C3380CC4-5D6E-409C-BE32-E72D297353CC}">
              <c16:uniqueId val="{00000000-7AEA-4EF7-ABF1-80A0C63AA5CB}"/>
            </c:ext>
          </c:extLst>
        </c:ser>
        <c:ser>
          <c:idx val="2"/>
          <c:order val="1"/>
          <c:tx>
            <c:v>All Sectors EE</c:v>
          </c:tx>
          <c:spPr>
            <a:ln w="19050" cap="rnd">
              <a:solidFill>
                <a:schemeClr val="tx1"/>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Forecasts'!$AA$13:$AU$13</c:f>
              <c:numCache>
                <c:formatCode>0</c:formatCode>
                <c:ptCount val="21"/>
                <c:pt idx="0">
                  <c:v>18351</c:v>
                </c:pt>
                <c:pt idx="1">
                  <c:v>16702.631941663258</c:v>
                </c:pt>
                <c:pt idx="2">
                  <c:v>15738.398440149722</c:v>
                </c:pt>
                <c:pt idx="3">
                  <c:v>15054.263883326515</c:v>
                </c:pt>
                <c:pt idx="4">
                  <c:v>14523.607894632989</c:v>
                </c:pt>
                <c:pt idx="5">
                  <c:v>14090.03038181298</c:v>
                </c:pt>
                <c:pt idx="6">
                  <c:v>13723.445818065817</c:v>
                </c:pt>
                <c:pt idx="7">
                  <c:v>13405.895824989777</c:v>
                </c:pt>
                <c:pt idx="8">
                  <c:v>13125.796880299446</c:v>
                </c:pt>
                <c:pt idx="9">
                  <c:v>12875.23983629625</c:v>
                </c:pt>
                <c:pt idx="10">
                  <c:v>12648.583419838109</c:v>
                </c:pt>
                <c:pt idx="11">
                  <c:v>12441.662323476243</c:v>
                </c:pt>
                <c:pt idx="12">
                  <c:v>12251.313366815612</c:v>
                </c:pt>
                <c:pt idx="13">
                  <c:v>12075.077759729078</c:v>
                </c:pt>
                <c:pt idx="14">
                  <c:v>11911.006334782714</c:v>
                </c:pt>
                <c:pt idx="15">
                  <c:v>11757.527766653036</c:v>
                </c:pt>
                <c:pt idx="16">
                  <c:v>11613.356812844602</c:v>
                </c:pt>
                <c:pt idx="17">
                  <c:v>11477.428821962707</c:v>
                </c:pt>
                <c:pt idx="18">
                  <c:v>11348.851972709779</c:v>
                </c:pt>
                <c:pt idx="19">
                  <c:v>11226.87177795951</c:v>
                </c:pt>
                <c:pt idx="20">
                  <c:v>11110.844258215539</c:v>
                </c:pt>
              </c:numCache>
            </c:numRef>
          </c:yVal>
          <c:smooth val="1"/>
          <c:extLst>
            <c:ext xmlns:c16="http://schemas.microsoft.com/office/drawing/2014/chart" uri="{C3380CC4-5D6E-409C-BE32-E72D297353CC}">
              <c16:uniqueId val="{00000001-7AEA-4EF7-ABF1-80A0C63AA5CB}"/>
            </c:ext>
          </c:extLst>
        </c:ser>
        <c:ser>
          <c:idx val="6"/>
          <c:order val="2"/>
          <c:tx>
            <c:v>Commercial BAU</c:v>
          </c:tx>
          <c:spPr>
            <a:ln w="19050" cap="rnd">
              <a:solidFill>
                <a:schemeClr val="accent2">
                  <a:lumMod val="75000"/>
                </a:schemeClr>
              </a:solidFill>
              <a:round/>
            </a:ln>
            <a:effectLst/>
          </c:spPr>
          <c:marker>
            <c:symbol val="none"/>
          </c:marker>
          <c:xVal>
            <c:numRef>
              <c:f>'Consumption Forecasts'!$B$18:$V$18</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Forecasts'!$B$5:$V$5</c:f>
              <c:numCache>
                <c:formatCode>#,##0</c:formatCode>
                <c:ptCount val="21"/>
                <c:pt idx="0">
                  <c:v>9497.1742721705814</c:v>
                </c:pt>
                <c:pt idx="1">
                  <c:v>9464.4542555829921</c:v>
                </c:pt>
                <c:pt idx="2">
                  <c:v>9414.9636763390772</c:v>
                </c:pt>
                <c:pt idx="3">
                  <c:v>9380.8953507643473</c:v>
                </c:pt>
                <c:pt idx="4">
                  <c:v>9354.523328363457</c:v>
                </c:pt>
                <c:pt idx="5">
                  <c:v>9335.8812479357166</c:v>
                </c:pt>
                <c:pt idx="6">
                  <c:v>9315.5509759371707</c:v>
                </c:pt>
                <c:pt idx="7">
                  <c:v>9308.9128383411862</c:v>
                </c:pt>
                <c:pt idx="8">
                  <c:v>9293.0553265599374</c:v>
                </c:pt>
                <c:pt idx="9">
                  <c:v>9311.8233183032207</c:v>
                </c:pt>
                <c:pt idx="10">
                  <c:v>9268.0935723745279</c:v>
                </c:pt>
                <c:pt idx="11">
                  <c:v>9231.2353877286496</c:v>
                </c:pt>
                <c:pt idx="12">
                  <c:v>9200.8575615488771</c:v>
                </c:pt>
                <c:pt idx="13">
                  <c:v>9169.3344372266056</c:v>
                </c:pt>
                <c:pt idx="14">
                  <c:v>9137.467103626097</c:v>
                </c:pt>
                <c:pt idx="15">
                  <c:v>9106.1563445978099</c:v>
                </c:pt>
                <c:pt idx="16">
                  <c:v>9075.0607363962663</c:v>
                </c:pt>
                <c:pt idx="17">
                  <c:v>9045.3590663366303</c:v>
                </c:pt>
                <c:pt idx="18">
                  <c:v>9017.0116314988518</c:v>
                </c:pt>
                <c:pt idx="19">
                  <c:v>8984.8063103417826</c:v>
                </c:pt>
                <c:pt idx="20">
                  <c:v>8960.3101268901337</c:v>
                </c:pt>
              </c:numCache>
            </c:numRef>
          </c:yVal>
          <c:smooth val="1"/>
          <c:extLst>
            <c:ext xmlns:c16="http://schemas.microsoft.com/office/drawing/2014/chart" uri="{C3380CC4-5D6E-409C-BE32-E72D297353CC}">
              <c16:uniqueId val="{00000002-7AEA-4EF7-ABF1-80A0C63AA5CB}"/>
            </c:ext>
          </c:extLst>
        </c:ser>
        <c:ser>
          <c:idx val="7"/>
          <c:order val="3"/>
          <c:tx>
            <c:v>Commercial EE</c:v>
          </c:tx>
          <c:spPr>
            <a:ln w="19050" cap="rnd">
              <a:solidFill>
                <a:schemeClr val="accent2">
                  <a:lumMod val="75000"/>
                </a:schemeClr>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Forecasts'!$AA$5:$AU$5</c:f>
              <c:numCache>
                <c:formatCode>0</c:formatCode>
                <c:ptCount val="21"/>
                <c:pt idx="0">
                  <c:v>9497.1742721705814</c:v>
                </c:pt>
                <c:pt idx="1">
                  <c:v>8629.6066331792281</c:v>
                </c:pt>
                <c:pt idx="2">
                  <c:v>8122.1120975300973</c:v>
                </c:pt>
                <c:pt idx="3">
                  <c:v>7762.0389941878748</c:v>
                </c:pt>
                <c:pt idx="4">
                  <c:v>7482.7445969814617</c:v>
                </c:pt>
                <c:pt idx="5">
                  <c:v>7254.544458538744</c:v>
                </c:pt>
                <c:pt idx="6">
                  <c:v>7061.6039906303122</c:v>
                </c:pt>
                <c:pt idx="7">
                  <c:v>6894.4713551965215</c:v>
                </c:pt>
                <c:pt idx="8">
                  <c:v>6747.0499228896133</c:v>
                </c:pt>
                <c:pt idx="9">
                  <c:v>6615.1769579901083</c:v>
                </c:pt>
                <c:pt idx="10">
                  <c:v>6495.8833505373859</c:v>
                </c:pt>
                <c:pt idx="11">
                  <c:v>6386.9768195473907</c:v>
                </c:pt>
                <c:pt idx="12">
                  <c:v>6286.7925226730858</c:v>
                </c:pt>
                <c:pt idx="13">
                  <c:v>6194.0363516389589</c:v>
                </c:pt>
                <c:pt idx="14">
                  <c:v>6107.6824223409767</c:v>
                </c:pt>
                <c:pt idx="15">
                  <c:v>6026.9037162051691</c:v>
                </c:pt>
                <c:pt idx="16">
                  <c:v>5951.0237855221367</c:v>
                </c:pt>
                <c:pt idx="17">
                  <c:v>5879.48228389826</c:v>
                </c:pt>
                <c:pt idx="18">
                  <c:v>5811.8098287259209</c:v>
                </c:pt>
                <c:pt idx="19">
                  <c:v>5747.609318998755</c:v>
                </c:pt>
                <c:pt idx="20">
                  <c:v>5686.5418159898272</c:v>
                </c:pt>
              </c:numCache>
            </c:numRef>
          </c:yVal>
          <c:smooth val="1"/>
          <c:extLst>
            <c:ext xmlns:c16="http://schemas.microsoft.com/office/drawing/2014/chart" uri="{C3380CC4-5D6E-409C-BE32-E72D297353CC}">
              <c16:uniqueId val="{00000003-7AEA-4EF7-ABF1-80A0C63AA5CB}"/>
            </c:ext>
          </c:extLst>
        </c:ser>
        <c:ser>
          <c:idx val="4"/>
          <c:order val="4"/>
          <c:tx>
            <c:v>Residential BAU</c:v>
          </c:tx>
          <c:spPr>
            <a:ln w="19050" cap="rnd">
              <a:solidFill>
                <a:schemeClr val="accent5">
                  <a:lumMod val="50000"/>
                </a:schemeClr>
              </a:solidFill>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Forecasts'!$B$3:$V$3</c:f>
              <c:numCache>
                <c:formatCode>#,##0</c:formatCode>
                <c:ptCount val="21"/>
                <c:pt idx="0">
                  <c:v>6548.8704746003232</c:v>
                </c:pt>
                <c:pt idx="1">
                  <c:v>6543.0670838536125</c:v>
                </c:pt>
                <c:pt idx="2">
                  <c:v>6533.4821559001857</c:v>
                </c:pt>
                <c:pt idx="3">
                  <c:v>6532.1742597750181</c:v>
                </c:pt>
                <c:pt idx="4">
                  <c:v>6530.1185113464207</c:v>
                </c:pt>
                <c:pt idx="5">
                  <c:v>6523.9394330959913</c:v>
                </c:pt>
                <c:pt idx="6">
                  <c:v>6507.6707612834625</c:v>
                </c:pt>
                <c:pt idx="7">
                  <c:v>6484.2397527818048</c:v>
                </c:pt>
                <c:pt idx="8">
                  <c:v>6443.6232199046653</c:v>
                </c:pt>
                <c:pt idx="9">
                  <c:v>6394.8677960285831</c:v>
                </c:pt>
                <c:pt idx="10">
                  <c:v>6312.1525191343326</c:v>
                </c:pt>
                <c:pt idx="11">
                  <c:v>6240.8247212236038</c:v>
                </c:pt>
                <c:pt idx="12">
                  <c:v>6176.5115737203123</c:v>
                </c:pt>
                <c:pt idx="13">
                  <c:v>6114.9914870297844</c:v>
                </c:pt>
                <c:pt idx="14">
                  <c:v>6057.360769846332</c:v>
                </c:pt>
                <c:pt idx="15">
                  <c:v>6004.2615690520533</c:v>
                </c:pt>
                <c:pt idx="16">
                  <c:v>5955.5169509791294</c:v>
                </c:pt>
                <c:pt idx="17">
                  <c:v>5911.248954614638</c:v>
                </c:pt>
                <c:pt idx="18">
                  <c:v>5870.7648202702221</c:v>
                </c:pt>
                <c:pt idx="19">
                  <c:v>5834.9349060977875</c:v>
                </c:pt>
                <c:pt idx="20">
                  <c:v>5806.9448509235799</c:v>
                </c:pt>
              </c:numCache>
            </c:numRef>
          </c:yVal>
          <c:smooth val="1"/>
          <c:extLst>
            <c:ext xmlns:c16="http://schemas.microsoft.com/office/drawing/2014/chart" uri="{C3380CC4-5D6E-409C-BE32-E72D297353CC}">
              <c16:uniqueId val="{00000004-7AEA-4EF7-ABF1-80A0C63AA5CB}"/>
            </c:ext>
          </c:extLst>
        </c:ser>
        <c:ser>
          <c:idx val="5"/>
          <c:order val="5"/>
          <c:tx>
            <c:v>Residential EE</c:v>
          </c:tx>
          <c:spPr>
            <a:ln w="19050" cap="rnd">
              <a:solidFill>
                <a:schemeClr val="accent5">
                  <a:lumMod val="50000"/>
                </a:schemeClr>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Forecasts'!$AA$3:$AU$3</c:f>
              <c:numCache>
                <c:formatCode>0</c:formatCode>
                <c:ptCount val="21"/>
                <c:pt idx="0">
                  <c:v>6548.8704746003232</c:v>
                </c:pt>
                <c:pt idx="1">
                  <c:v>5796.5306896582133</c:v>
                </c:pt>
                <c:pt idx="2">
                  <c:v>5356.4401276664603</c:v>
                </c:pt>
                <c:pt idx="3">
                  <c:v>5044.1909047161034</c:v>
                </c:pt>
                <c:pt idx="4">
                  <c:v>4801.9915910417221</c:v>
                </c:pt>
                <c:pt idx="5">
                  <c:v>4604.1003427243504</c:v>
                </c:pt>
                <c:pt idx="6">
                  <c:v>4436.7856762833326</c:v>
                </c:pt>
                <c:pt idx="7">
                  <c:v>4291.8511197739936</c:v>
                </c:pt>
                <c:pt idx="8">
                  <c:v>4164.0097807325965</c:v>
                </c:pt>
                <c:pt idx="9">
                  <c:v>4049.6518060996127</c:v>
                </c:pt>
                <c:pt idx="10">
                  <c:v>3946.2024346128042</c:v>
                </c:pt>
                <c:pt idx="11">
                  <c:v>3851.7605577822405</c:v>
                </c:pt>
                <c:pt idx="12">
                  <c:v>3764.8824528628124</c:v>
                </c:pt>
                <c:pt idx="13">
                  <c:v>3684.4458913412227</c:v>
                </c:pt>
                <c:pt idx="14">
                  <c:v>3609.5612441078588</c:v>
                </c:pt>
                <c:pt idx="15">
                  <c:v>3539.5113348318841</c:v>
                </c:pt>
                <c:pt idx="16">
                  <c:v>3473.7095596551781</c:v>
                </c:pt>
                <c:pt idx="17">
                  <c:v>3411.6699957904871</c:v>
                </c:pt>
                <c:pt idx="18">
                  <c:v>3352.9856026865054</c:v>
                </c:pt>
                <c:pt idx="19">
                  <c:v>3297.3120211575024</c:v>
                </c:pt>
                <c:pt idx="20">
                  <c:v>3244.3553293494688</c:v>
                </c:pt>
              </c:numCache>
            </c:numRef>
          </c:yVal>
          <c:smooth val="1"/>
          <c:extLst>
            <c:ext xmlns:c16="http://schemas.microsoft.com/office/drawing/2014/chart" uri="{C3380CC4-5D6E-409C-BE32-E72D297353CC}">
              <c16:uniqueId val="{00000005-7AEA-4EF7-ABF1-80A0C63AA5CB}"/>
            </c:ext>
          </c:extLst>
        </c:ser>
        <c:ser>
          <c:idx val="8"/>
          <c:order val="6"/>
          <c:tx>
            <c:v>Industrial BAU</c:v>
          </c:tx>
          <c:spPr>
            <a:ln w="19050" cap="rnd">
              <a:solidFill>
                <a:schemeClr val="bg2">
                  <a:lumMod val="75000"/>
                </a:schemeClr>
              </a:solidFill>
              <a:round/>
            </a:ln>
            <a:effectLst/>
          </c:spPr>
          <c:marker>
            <c:symbol val="none"/>
          </c:marker>
          <c:xVal>
            <c:numRef>
              <c:f>'Consumption Forecasts'!$B$2:$V$2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Forecasts'!$B$7:$V$7</c:f>
              <c:numCache>
                <c:formatCode>#,##0</c:formatCode>
                <c:ptCount val="21"/>
                <c:pt idx="0">
                  <c:v>1853.2210095348682</c:v>
                </c:pt>
                <c:pt idx="1">
                  <c:v>1954.1689718472956</c:v>
                </c:pt>
                <c:pt idx="2">
                  <c:v>2065.9151973074277</c:v>
                </c:pt>
                <c:pt idx="3">
                  <c:v>2175.4205780438515</c:v>
                </c:pt>
                <c:pt idx="4">
                  <c:v>2270.1744385375937</c:v>
                </c:pt>
                <c:pt idx="5">
                  <c:v>2345.7155481354957</c:v>
                </c:pt>
                <c:pt idx="6">
                  <c:v>2405.723700063365</c:v>
                </c:pt>
                <c:pt idx="7">
                  <c:v>2436.7682298325399</c:v>
                </c:pt>
                <c:pt idx="8">
                  <c:v>2446.4238582573348</c:v>
                </c:pt>
                <c:pt idx="9">
                  <c:v>2401.3067476820788</c:v>
                </c:pt>
                <c:pt idx="10">
                  <c:v>2363.8873136874427</c:v>
                </c:pt>
                <c:pt idx="11">
                  <c:v>2339.4211169155355</c:v>
                </c:pt>
                <c:pt idx="12">
                  <c:v>2319.9922010292112</c:v>
                </c:pt>
                <c:pt idx="13">
                  <c:v>2305.7432081733605</c:v>
                </c:pt>
                <c:pt idx="14">
                  <c:v>2298.6782754755368</c:v>
                </c:pt>
                <c:pt idx="15">
                  <c:v>2298.2298558747143</c:v>
                </c:pt>
                <c:pt idx="16">
                  <c:v>2303.9409231126579</c:v>
                </c:pt>
                <c:pt idx="17">
                  <c:v>2315.4860345586617</c:v>
                </c:pt>
                <c:pt idx="18">
                  <c:v>2331.6468854780614</c:v>
                </c:pt>
                <c:pt idx="19">
                  <c:v>2354.8481340444609</c:v>
                </c:pt>
                <c:pt idx="20">
                  <c:v>2385.3082098952568</c:v>
                </c:pt>
              </c:numCache>
            </c:numRef>
          </c:yVal>
          <c:smooth val="1"/>
          <c:extLst>
            <c:ext xmlns:c16="http://schemas.microsoft.com/office/drawing/2014/chart" uri="{C3380CC4-5D6E-409C-BE32-E72D297353CC}">
              <c16:uniqueId val="{00000006-7AEA-4EF7-ABF1-80A0C63AA5CB}"/>
            </c:ext>
          </c:extLst>
        </c:ser>
        <c:ser>
          <c:idx val="9"/>
          <c:order val="7"/>
          <c:tx>
            <c:v>Industrial EE</c:v>
          </c:tx>
          <c:spPr>
            <a:ln w="19050" cap="rnd">
              <a:solidFill>
                <a:schemeClr val="bg2">
                  <a:lumMod val="75000"/>
                </a:schemeClr>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Forecasts'!$AA$7:$AU$7</c:f>
              <c:numCache>
                <c:formatCode>0</c:formatCode>
                <c:ptCount val="21"/>
                <c:pt idx="0">
                  <c:v>1853.2210095348682</c:v>
                </c:pt>
                <c:pt idx="1">
                  <c:v>1885.9530633764491</c:v>
                </c:pt>
                <c:pt idx="2">
                  <c:v>1905.1000874453598</c:v>
                </c:pt>
                <c:pt idx="3">
                  <c:v>1918.68511721803</c:v>
                </c:pt>
                <c:pt idx="4">
                  <c:v>1929.2224849530007</c:v>
                </c:pt>
                <c:pt idx="5">
                  <c:v>1937.8321412869407</c:v>
                </c:pt>
                <c:pt idx="6">
                  <c:v>1945.1115019960848</c:v>
                </c:pt>
                <c:pt idx="7">
                  <c:v>1951.4171710596108</c:v>
                </c:pt>
                <c:pt idx="8">
                  <c:v>1956.9791653558514</c:v>
                </c:pt>
                <c:pt idx="9">
                  <c:v>1961.9545387945816</c:v>
                </c:pt>
                <c:pt idx="10">
                  <c:v>1966.4553115373715</c:v>
                </c:pt>
                <c:pt idx="11">
                  <c:v>1970.5641951285215</c:v>
                </c:pt>
                <c:pt idx="12">
                  <c:v>1974.3440016265868</c:v>
                </c:pt>
                <c:pt idx="13">
                  <c:v>1977.8435558376657</c:v>
                </c:pt>
                <c:pt idx="14">
                  <c:v>1981.1015628634923</c:v>
                </c:pt>
                <c:pt idx="15">
                  <c:v>1984.1492249011917</c:v>
                </c:pt>
                <c:pt idx="16">
                  <c:v>1987.0120633301356</c:v>
                </c:pt>
                <c:pt idx="17">
                  <c:v>1989.7112191974322</c:v>
                </c:pt>
                <c:pt idx="18">
                  <c:v>1992.2644016200366</c:v>
                </c:pt>
                <c:pt idx="19">
                  <c:v>1994.6865926361625</c:v>
                </c:pt>
                <c:pt idx="20">
                  <c:v>1996.9905799065764</c:v>
                </c:pt>
              </c:numCache>
            </c:numRef>
          </c:yVal>
          <c:smooth val="1"/>
          <c:extLst>
            <c:ext xmlns:c16="http://schemas.microsoft.com/office/drawing/2014/chart" uri="{C3380CC4-5D6E-409C-BE32-E72D297353CC}">
              <c16:uniqueId val="{00000007-7AEA-4EF7-ABF1-80A0C63AA5CB}"/>
            </c:ext>
          </c:extLst>
        </c:ser>
        <c:ser>
          <c:idx val="1"/>
          <c:order val="8"/>
          <c:tx>
            <c:v>Street Lighting BAU</c:v>
          </c:tx>
          <c:spPr>
            <a:ln w="19050" cap="rnd">
              <a:solidFill>
                <a:schemeClr val="accent4"/>
              </a:solidFill>
              <a:round/>
            </a:ln>
            <a:effectLst/>
          </c:spPr>
          <c:marker>
            <c:symbol val="none"/>
          </c:marker>
          <c:xVal>
            <c:numRef>
              <c:f>'Consumption Forecasts'!$B$2:$V$2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Forecasts'!$B$9:$V$9</c:f>
              <c:numCache>
                <c:formatCode>#,##0</c:formatCode>
                <c:ptCount val="21"/>
                <c:pt idx="0">
                  <c:v>377.58416084422981</c:v>
                </c:pt>
                <c:pt idx="1">
                  <c:v>378.9010038660831</c:v>
                </c:pt>
                <c:pt idx="2">
                  <c:v>380.01209016577189</c:v>
                </c:pt>
                <c:pt idx="3">
                  <c:v>381.57584125422278</c:v>
                </c:pt>
                <c:pt idx="4">
                  <c:v>382.97498696494199</c:v>
                </c:pt>
                <c:pt idx="5">
                  <c:v>384.04492192019785</c:v>
                </c:pt>
                <c:pt idx="6">
                  <c:v>384.53873805339276</c:v>
                </c:pt>
                <c:pt idx="7">
                  <c:v>384.55931372560917</c:v>
                </c:pt>
                <c:pt idx="8">
                  <c:v>383.57168145921929</c:v>
                </c:pt>
                <c:pt idx="9">
                  <c:v>381.987354698552</c:v>
                </c:pt>
                <c:pt idx="10">
                  <c:v>378.53064176618687</c:v>
                </c:pt>
                <c:pt idx="11">
                  <c:v>375.73235034474862</c:v>
                </c:pt>
                <c:pt idx="12">
                  <c:v>373.32499669542284</c:v>
                </c:pt>
                <c:pt idx="13">
                  <c:v>371.06167275161249</c:v>
                </c:pt>
                <c:pt idx="14">
                  <c:v>369.02468120218316</c:v>
                </c:pt>
                <c:pt idx="15">
                  <c:v>367.23459771935114</c:v>
                </c:pt>
                <c:pt idx="16">
                  <c:v>365.67084663090031</c:v>
                </c:pt>
                <c:pt idx="17">
                  <c:v>364.35400360904697</c:v>
                </c:pt>
                <c:pt idx="18">
                  <c:v>363.24291730935818</c:v>
                </c:pt>
                <c:pt idx="19">
                  <c:v>362.27058711461586</c:v>
                </c:pt>
                <c:pt idx="20">
                  <c:v>361.79111721010747</c:v>
                </c:pt>
              </c:numCache>
            </c:numRef>
          </c:yVal>
          <c:smooth val="1"/>
          <c:extLst>
            <c:ext xmlns:c16="http://schemas.microsoft.com/office/drawing/2014/chart" uri="{C3380CC4-5D6E-409C-BE32-E72D297353CC}">
              <c16:uniqueId val="{00000008-7AEA-4EF7-ABF1-80A0C63AA5CB}"/>
            </c:ext>
          </c:extLst>
        </c:ser>
        <c:ser>
          <c:idx val="3"/>
          <c:order val="9"/>
          <c:tx>
            <c:v>Street Lighting EE</c:v>
          </c:tx>
          <c:spPr>
            <a:ln w="19050" cap="rnd">
              <a:solidFill>
                <a:schemeClr val="accent4"/>
              </a:solidFill>
              <a:prstDash val="sysDash"/>
              <a:round/>
            </a:ln>
            <a:effectLst/>
          </c:spPr>
          <c:marker>
            <c:symbol val="none"/>
          </c:marker>
          <c:xVal>
            <c:numRef>
              <c:f>'Consumption Forecasts'!$AA$2:$AU$2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xVal>
          <c:yVal>
            <c:numRef>
              <c:f>'Consumption Forecasts'!$AA$9:$AU$9</c:f>
              <c:numCache>
                <c:formatCode>0</c:formatCode>
                <c:ptCount val="21"/>
                <c:pt idx="0">
                  <c:v>377.58416084422981</c:v>
                </c:pt>
                <c:pt idx="1">
                  <c:v>317.09824933480854</c:v>
                </c:pt>
                <c:pt idx="2">
                  <c:v>281.71625927985895</c:v>
                </c:pt>
                <c:pt idx="3">
                  <c:v>256.61233782538727</c:v>
                </c:pt>
                <c:pt idx="4">
                  <c:v>237.14022356563373</c:v>
                </c:pt>
                <c:pt idx="5">
                  <c:v>221.23034777043767</c:v>
                </c:pt>
                <c:pt idx="6">
                  <c:v>207.77873945311538</c:v>
                </c:pt>
                <c:pt idx="7">
                  <c:v>196.12642631596603</c:v>
                </c:pt>
                <c:pt idx="8">
                  <c:v>185.84835771548805</c:v>
                </c:pt>
                <c:pt idx="9">
                  <c:v>176.65431205621249</c:v>
                </c:pt>
                <c:pt idx="10">
                  <c:v>168.33728608644029</c:v>
                </c:pt>
                <c:pt idx="11">
                  <c:v>160.74443626101643</c:v>
                </c:pt>
                <c:pt idx="12">
                  <c:v>153.75969150679998</c:v>
                </c:pt>
                <c:pt idx="13">
                  <c:v>147.29282794369414</c:v>
                </c:pt>
                <c:pt idx="14">
                  <c:v>141.27232200126284</c:v>
                </c:pt>
                <c:pt idx="15">
                  <c:v>135.64051480654479</c:v>
                </c:pt>
                <c:pt idx="16">
                  <c:v>130.35024513031422</c:v>
                </c:pt>
                <c:pt idx="17">
                  <c:v>125.36244620606681</c:v>
                </c:pt>
                <c:pt idx="18">
                  <c:v>120.64439316764526</c:v>
                </c:pt>
                <c:pt idx="19">
                  <c:v>116.16840054679119</c:v>
                </c:pt>
                <c:pt idx="20">
                  <c:v>111.91083788874448</c:v>
                </c:pt>
              </c:numCache>
            </c:numRef>
          </c:yVal>
          <c:smooth val="1"/>
          <c:extLst>
            <c:ext xmlns:c16="http://schemas.microsoft.com/office/drawing/2014/chart" uri="{C3380CC4-5D6E-409C-BE32-E72D297353CC}">
              <c16:uniqueId val="{00000009-7AEA-4EF7-ABF1-80A0C63AA5CB}"/>
            </c:ext>
          </c:extLst>
        </c:ser>
        <c:dLbls>
          <c:showLegendKey val="0"/>
          <c:showVal val="0"/>
          <c:showCatName val="0"/>
          <c:showSerName val="0"/>
          <c:showPercent val="0"/>
          <c:showBubbleSize val="0"/>
        </c:dLbls>
        <c:axId val="496506079"/>
        <c:axId val="346964415"/>
      </c:scatterChart>
      <c:valAx>
        <c:axId val="496506079"/>
        <c:scaling>
          <c:orientation val="minMax"/>
          <c:max val="2040"/>
          <c:min val="202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6964415"/>
        <c:crosses val="autoZero"/>
        <c:crossBetween val="midCat"/>
        <c:majorUnit val="2"/>
        <c:minorUnit val="1"/>
      </c:valAx>
      <c:valAx>
        <c:axId val="346964415"/>
        <c:scaling>
          <c:orientation val="minMax"/>
          <c:max val="21000"/>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96506079"/>
        <c:crosses val="autoZero"/>
        <c:crossBetween val="midCat"/>
      </c:valAx>
      <c:spPr>
        <a:noFill/>
        <a:ln>
          <a:solidFill>
            <a:sysClr val="windowText" lastClr="000000"/>
          </a:solidFill>
        </a:ln>
        <a:effectLst/>
      </c:spPr>
    </c:plotArea>
    <c:legend>
      <c:legendPos val="r"/>
      <c:layout>
        <c:manualLayout>
          <c:xMode val="edge"/>
          <c:yMode val="edge"/>
          <c:x val="0.82721598978101174"/>
          <c:y val="0.13178011701365372"/>
          <c:w val="0.16712363201955605"/>
          <c:h val="0.787261837011468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a:latin typeface="Arial" panose="020B0604020202020204" pitchFamily="34" charset="0"/>
                <a:cs typeface="Arial" panose="020B0604020202020204" pitchFamily="34" charset="0"/>
              </a:rPr>
              <a:t>Fig</a:t>
            </a:r>
            <a:r>
              <a:rPr lang="en-US" sz="1200" b="1" i="0" baseline="0">
                <a:latin typeface="Arial" panose="020B0604020202020204" pitchFamily="34" charset="0"/>
                <a:cs typeface="Arial" panose="020B0604020202020204" pitchFamily="34" charset="0"/>
              </a:rPr>
              <a:t> 4. EE Scenario Electricity Consumption (GWh) </a:t>
            </a:r>
            <a:endParaRPr lang="en-US" sz="1200" b="1" i="0">
              <a:latin typeface="Arial" panose="020B0604020202020204" pitchFamily="34" charset="0"/>
              <a:cs typeface="Arial" panose="020B0604020202020204" pitchFamily="34" charset="0"/>
            </a:endParaRPr>
          </a:p>
        </c:rich>
      </c:tx>
      <c:layout>
        <c:manualLayout>
          <c:xMode val="edge"/>
          <c:yMode val="edge"/>
          <c:x val="0.20257324266593504"/>
          <c:y val="1.652429456023903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01-9879-4127-81EE-05B367E3027C}"/>
              </c:ext>
            </c:extLst>
          </c:dPt>
          <c:dPt>
            <c:idx val="1"/>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3-9879-4127-81EE-05B367E3027C}"/>
              </c:ext>
            </c:extLst>
          </c:dPt>
          <c:dPt>
            <c:idx val="2"/>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5-9879-4127-81EE-05B367E3027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879-4127-81EE-05B367E3027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879-4127-81EE-05B367E3027C}"/>
              </c:ext>
            </c:extLst>
          </c:dPt>
          <c:dLbls>
            <c:dLbl>
              <c:idx val="0"/>
              <c:layout>
                <c:manualLayout>
                  <c:x val="-2.3695317141406986E-3"/>
                  <c:y val="-8.9793850244334348E-4"/>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879-4127-81EE-05B367E302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Dashboard!$W$53:$W$57</c:f>
              <c:strCache>
                <c:ptCount val="5"/>
                <c:pt idx="0">
                  <c:v>Residential</c:v>
                </c:pt>
                <c:pt idx="1">
                  <c:v>Commercial</c:v>
                </c:pt>
                <c:pt idx="2">
                  <c:v>Industrial </c:v>
                </c:pt>
                <c:pt idx="3">
                  <c:v>Street Lighting</c:v>
                </c:pt>
                <c:pt idx="4">
                  <c:v>Other</c:v>
                </c:pt>
              </c:strCache>
            </c:strRef>
          </c:cat>
          <c:val>
            <c:numRef>
              <c:f>Dashboard!$Y$53:$Y$57</c:f>
              <c:numCache>
                <c:formatCode>#,##0</c:formatCode>
                <c:ptCount val="5"/>
                <c:pt idx="0">
                  <c:v>3244.3553293494688</c:v>
                </c:pt>
                <c:pt idx="1">
                  <c:v>5686.5418159898272</c:v>
                </c:pt>
                <c:pt idx="2">
                  <c:v>1996.9905799065764</c:v>
                </c:pt>
                <c:pt idx="3">
                  <c:v>111.91083788874448</c:v>
                </c:pt>
                <c:pt idx="4">
                  <c:v>71.045695080922073</c:v>
                </c:pt>
              </c:numCache>
            </c:numRef>
          </c:val>
          <c:extLst>
            <c:ext xmlns:c16="http://schemas.microsoft.com/office/drawing/2014/chart" uri="{C3380CC4-5D6E-409C-BE32-E72D297353CC}">
              <c16:uniqueId val="{0000000A-9879-4127-81EE-05B367E3027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a:latin typeface="Arial" panose="020B0604020202020204" pitchFamily="34" charset="0"/>
                <a:cs typeface="Arial" panose="020B0604020202020204" pitchFamily="34" charset="0"/>
              </a:rPr>
              <a:t>Fig</a:t>
            </a:r>
            <a:r>
              <a:rPr lang="en-US" sz="1200" b="1" i="0" baseline="0">
                <a:latin typeface="Arial" panose="020B0604020202020204" pitchFamily="34" charset="0"/>
                <a:cs typeface="Arial" panose="020B0604020202020204" pitchFamily="34" charset="0"/>
              </a:rPr>
              <a:t> 4. EE Scenario Electricity Consumption (GWh) </a:t>
            </a:r>
            <a:endParaRPr lang="en-US" sz="1200" b="1" i="0">
              <a:latin typeface="Arial" panose="020B0604020202020204" pitchFamily="34" charset="0"/>
              <a:cs typeface="Arial" panose="020B0604020202020204" pitchFamily="34" charset="0"/>
            </a:endParaRPr>
          </a:p>
        </c:rich>
      </c:tx>
      <c:layout>
        <c:manualLayout>
          <c:xMode val="edge"/>
          <c:yMode val="edge"/>
          <c:x val="0.20257324266593504"/>
          <c:y val="1.652429456023903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a:latin typeface="Arial" panose="020B0604020202020204" pitchFamily="34" charset="0"/>
                <a:cs typeface="Arial" panose="020B0604020202020204" pitchFamily="34" charset="0"/>
              </a:rPr>
              <a:t>Fig</a:t>
            </a:r>
            <a:r>
              <a:rPr lang="en-US" sz="1200" b="1" i="0" baseline="0">
                <a:latin typeface="Arial" panose="020B0604020202020204" pitchFamily="34" charset="0"/>
                <a:cs typeface="Arial" panose="020B0604020202020204" pitchFamily="34" charset="0"/>
              </a:rPr>
              <a:t> 3. Business As Usual Electricity Consumption (GWh) </a:t>
            </a:r>
            <a:endParaRPr lang="en-US" sz="1200" b="1" i="0">
              <a:latin typeface="Arial" panose="020B0604020202020204" pitchFamily="34" charset="0"/>
              <a:cs typeface="Arial" panose="020B0604020202020204" pitchFamily="34" charset="0"/>
            </a:endParaRPr>
          </a:p>
        </c:rich>
      </c:tx>
      <c:layout>
        <c:manualLayout>
          <c:xMode val="edge"/>
          <c:yMode val="edge"/>
          <c:x val="0.14371532942350526"/>
          <c:y val="1.655719794847191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b="1" i="0" baseline="0">
                <a:latin typeface="Arial" panose="020B0604020202020204" pitchFamily="34" charset="0"/>
                <a:cs typeface="Arial" panose="020B0604020202020204" pitchFamily="34" charset="0"/>
              </a:rPr>
              <a:t>EE Electricity Consumption (GWh) </a:t>
            </a:r>
            <a:endParaRPr lang="en-US" sz="1000" b="1" i="0">
              <a:latin typeface="Arial" panose="020B0604020202020204" pitchFamily="34" charset="0"/>
              <a:cs typeface="Arial" panose="020B0604020202020204" pitchFamily="34" charset="0"/>
            </a:endParaRPr>
          </a:p>
        </c:rich>
      </c:tx>
      <c:layout>
        <c:manualLayout>
          <c:xMode val="edge"/>
          <c:yMode val="edge"/>
          <c:x val="0.27415401288027447"/>
          <c:y val="2.325116384266976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01-CB6D-4292-B517-0A7C363BF574}"/>
              </c:ext>
            </c:extLst>
          </c:dPt>
          <c:dPt>
            <c:idx val="1"/>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3-CB6D-4292-B517-0A7C363BF574}"/>
              </c:ext>
            </c:extLst>
          </c:dPt>
          <c:dPt>
            <c:idx val="2"/>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5-CB6D-4292-B517-0A7C363BF5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B6D-4292-B517-0A7C363BF5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B6D-4292-B517-0A7C363BF574}"/>
              </c:ext>
            </c:extLst>
          </c:dPt>
          <c:dLbls>
            <c:dLbl>
              <c:idx val="0"/>
              <c:layout>
                <c:manualLayout>
                  <c:x val="-2.3695317141406986E-3"/>
                  <c:y val="-8.9793850244334348E-4"/>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B6D-4292-B517-0A7C363BF57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Dashboard!$W$53:$W$57</c:f>
              <c:strCache>
                <c:ptCount val="5"/>
                <c:pt idx="0">
                  <c:v>Residential</c:v>
                </c:pt>
                <c:pt idx="1">
                  <c:v>Commercial</c:v>
                </c:pt>
                <c:pt idx="2">
                  <c:v>Industrial </c:v>
                </c:pt>
                <c:pt idx="3">
                  <c:v>Street Lighting</c:v>
                </c:pt>
                <c:pt idx="4">
                  <c:v>Other</c:v>
                </c:pt>
              </c:strCache>
            </c:strRef>
          </c:cat>
          <c:val>
            <c:numRef>
              <c:f>Dashboard!$Y$53:$Y$57</c:f>
              <c:numCache>
                <c:formatCode>#,##0</c:formatCode>
                <c:ptCount val="5"/>
                <c:pt idx="0">
                  <c:v>3244.3553293494688</c:v>
                </c:pt>
                <c:pt idx="1">
                  <c:v>5686.5418159898272</c:v>
                </c:pt>
                <c:pt idx="2">
                  <c:v>1996.9905799065764</c:v>
                </c:pt>
                <c:pt idx="3">
                  <c:v>111.91083788874448</c:v>
                </c:pt>
                <c:pt idx="4">
                  <c:v>71.045695080922073</c:v>
                </c:pt>
              </c:numCache>
            </c:numRef>
          </c:val>
          <c:extLst>
            <c:ext xmlns:c16="http://schemas.microsoft.com/office/drawing/2014/chart" uri="{C3380CC4-5D6E-409C-BE32-E72D297353CC}">
              <c16:uniqueId val="{0000000A-CB6D-4292-B517-0A7C363BF57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b="1" i="0" baseline="0">
                <a:latin typeface="Arial" panose="020B0604020202020204" pitchFamily="34" charset="0"/>
                <a:cs typeface="Arial" panose="020B0604020202020204" pitchFamily="34" charset="0"/>
              </a:rPr>
              <a:t>BAU Electricity Consumption (GWh) </a:t>
            </a:r>
            <a:endParaRPr lang="en-US" sz="1000" b="1" i="0">
              <a:latin typeface="Arial" panose="020B0604020202020204" pitchFamily="34" charset="0"/>
              <a:cs typeface="Arial" panose="020B0604020202020204" pitchFamily="34" charset="0"/>
            </a:endParaRPr>
          </a:p>
        </c:rich>
      </c:tx>
      <c:layout>
        <c:manualLayout>
          <c:xMode val="edge"/>
          <c:yMode val="edge"/>
          <c:x val="0.27636611759826363"/>
          <c:y val="2.328282234515453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01-D992-4B57-A5BA-EB0E9E46CA7F}"/>
              </c:ext>
            </c:extLst>
          </c:dPt>
          <c:dPt>
            <c:idx val="1"/>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3-D992-4B57-A5BA-EB0E9E46CA7F}"/>
              </c:ext>
            </c:extLst>
          </c:dPt>
          <c:dPt>
            <c:idx val="2"/>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5-D992-4B57-A5BA-EB0E9E46CA7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992-4B57-A5BA-EB0E9E46CA7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992-4B57-A5BA-EB0E9E46CA7F}"/>
              </c:ext>
            </c:extLst>
          </c:dPt>
          <c:dLbls>
            <c:dLbl>
              <c:idx val="0"/>
              <c:layout>
                <c:manualLayout>
                  <c:x val="-5.160413466116491E-2"/>
                  <c:y val="-9.495870119501756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992-4B57-A5BA-EB0E9E46CA7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Dashboard!$W$53:$W$57</c:f>
              <c:strCache>
                <c:ptCount val="5"/>
                <c:pt idx="0">
                  <c:v>Residential</c:v>
                </c:pt>
                <c:pt idx="1">
                  <c:v>Commercial</c:v>
                </c:pt>
                <c:pt idx="2">
                  <c:v>Industrial </c:v>
                </c:pt>
                <c:pt idx="3">
                  <c:v>Street Lighting</c:v>
                </c:pt>
                <c:pt idx="4">
                  <c:v>Other</c:v>
                </c:pt>
              </c:strCache>
            </c:strRef>
          </c:cat>
          <c:val>
            <c:numRef>
              <c:f>Dashboard!$X$53:$X$57</c:f>
              <c:numCache>
                <c:formatCode>#,##0</c:formatCode>
                <c:ptCount val="5"/>
                <c:pt idx="0">
                  <c:v>5806.9448509235799</c:v>
                </c:pt>
                <c:pt idx="1">
                  <c:v>8960.3101268901337</c:v>
                </c:pt>
                <c:pt idx="2">
                  <c:v>2385.3082098952568</c:v>
                </c:pt>
                <c:pt idx="3">
                  <c:v>361.79111721010747</c:v>
                </c:pt>
                <c:pt idx="4">
                  <c:v>71.045695080922073</c:v>
                </c:pt>
              </c:numCache>
            </c:numRef>
          </c:val>
          <c:extLst>
            <c:ext xmlns:c16="http://schemas.microsoft.com/office/drawing/2014/chart" uri="{C3380CC4-5D6E-409C-BE32-E72D297353CC}">
              <c16:uniqueId val="{0000000A-D992-4B57-A5BA-EB0E9E46CA7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dPt>
            <c:idx val="0"/>
            <c:bubble3D val="0"/>
            <c:spPr>
              <a:solidFill>
                <a:schemeClr val="accent1">
                  <a:shade val="45000"/>
                </a:schemeClr>
              </a:solidFill>
              <a:ln w="19050">
                <a:solidFill>
                  <a:schemeClr val="lt1"/>
                </a:solidFill>
              </a:ln>
              <a:effectLst/>
            </c:spPr>
            <c:extLst>
              <c:ext xmlns:c16="http://schemas.microsoft.com/office/drawing/2014/chart" uri="{C3380CC4-5D6E-409C-BE32-E72D297353CC}">
                <c16:uniqueId val="{0000000B-1A15-4A93-82FD-8CD87E9DA8F1}"/>
              </c:ext>
            </c:extLst>
          </c:dPt>
          <c:dPt>
            <c:idx val="1"/>
            <c:bubble3D val="0"/>
            <c:spPr>
              <a:solidFill>
                <a:schemeClr val="accent1">
                  <a:shade val="61000"/>
                </a:schemeClr>
              </a:solidFill>
              <a:ln w="19050">
                <a:solidFill>
                  <a:schemeClr val="lt1"/>
                </a:solidFill>
              </a:ln>
              <a:effectLst/>
            </c:spPr>
            <c:extLst>
              <c:ext xmlns:c16="http://schemas.microsoft.com/office/drawing/2014/chart" uri="{C3380CC4-5D6E-409C-BE32-E72D297353CC}">
                <c16:uniqueId val="{0000000C-1A15-4A93-82FD-8CD87E9DA8F1}"/>
              </c:ext>
            </c:extLst>
          </c:dPt>
          <c:dPt>
            <c:idx val="2"/>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D-1A15-4A93-82FD-8CD87E9DA8F1}"/>
              </c:ext>
            </c:extLst>
          </c:dPt>
          <c:dPt>
            <c:idx val="3"/>
            <c:bubble3D val="0"/>
            <c:spPr>
              <a:solidFill>
                <a:schemeClr val="accent1">
                  <a:shade val="92000"/>
                </a:schemeClr>
              </a:solidFill>
              <a:ln w="19050">
                <a:solidFill>
                  <a:schemeClr val="lt1"/>
                </a:solidFill>
              </a:ln>
              <a:effectLst/>
            </c:spPr>
            <c:extLst>
              <c:ext xmlns:c16="http://schemas.microsoft.com/office/drawing/2014/chart" uri="{C3380CC4-5D6E-409C-BE32-E72D297353CC}">
                <c16:uniqueId val="{0000000E-1A15-4A93-82FD-8CD87E9DA8F1}"/>
              </c:ext>
            </c:extLst>
          </c:dPt>
          <c:dPt>
            <c:idx val="4"/>
            <c:bubble3D val="0"/>
            <c:spPr>
              <a:solidFill>
                <a:schemeClr val="accent1">
                  <a:tint val="93000"/>
                </a:schemeClr>
              </a:solidFill>
              <a:ln w="19050">
                <a:solidFill>
                  <a:schemeClr val="lt1"/>
                </a:solidFill>
              </a:ln>
              <a:effectLst/>
            </c:spPr>
            <c:extLst>
              <c:ext xmlns:c16="http://schemas.microsoft.com/office/drawing/2014/chart" uri="{C3380CC4-5D6E-409C-BE32-E72D297353CC}">
                <c16:uniqueId val="{0000000F-1A15-4A93-82FD-8CD87E9DA8F1}"/>
              </c:ext>
            </c:extLst>
          </c:dPt>
          <c:dPt>
            <c:idx val="5"/>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10-1A15-4A93-82FD-8CD87E9DA8F1}"/>
              </c:ext>
            </c:extLst>
          </c:dPt>
          <c:dPt>
            <c:idx val="6"/>
            <c:bubble3D val="0"/>
            <c:spPr>
              <a:solidFill>
                <a:schemeClr val="accent1">
                  <a:tint val="62000"/>
                </a:schemeClr>
              </a:solidFill>
              <a:ln w="19050">
                <a:solidFill>
                  <a:schemeClr val="lt1"/>
                </a:solidFill>
              </a:ln>
              <a:effectLst/>
            </c:spPr>
            <c:extLst>
              <c:ext xmlns:c16="http://schemas.microsoft.com/office/drawing/2014/chart" uri="{C3380CC4-5D6E-409C-BE32-E72D297353CC}">
                <c16:uniqueId val="{00000011-1A15-4A93-82FD-8CD87E9DA8F1}"/>
              </c:ext>
            </c:extLst>
          </c:dPt>
          <c:dPt>
            <c:idx val="7"/>
            <c:bubble3D val="0"/>
            <c:spPr>
              <a:solidFill>
                <a:schemeClr val="accent1">
                  <a:tint val="46000"/>
                </a:schemeClr>
              </a:solidFill>
              <a:ln w="19050">
                <a:solidFill>
                  <a:schemeClr val="lt1"/>
                </a:solidFill>
              </a:ln>
              <a:effectLst/>
            </c:spPr>
            <c:extLst>
              <c:ext xmlns:c16="http://schemas.microsoft.com/office/drawing/2014/chart" uri="{C3380CC4-5D6E-409C-BE32-E72D297353CC}">
                <c16:uniqueId val="{00000012-1A15-4A93-82FD-8CD87E9DA8F1}"/>
              </c:ext>
            </c:extLst>
          </c:dPt>
          <c:dLbls>
            <c:dLbl>
              <c:idx val="0"/>
              <c:tx>
                <c:rich>
                  <a:bodyPr/>
                  <a:lstStyle/>
                  <a:p>
                    <a:fld id="{C02F142D-E7E5-4740-A66F-F03964E005C6}" type="CELLRANGE">
                      <a:rPr lang="en-US"/>
                      <a:pPr/>
                      <a:t>[CELLRANGE]</a:t>
                    </a:fld>
                    <a:r>
                      <a:rPr lang="en-US" baseline="0"/>
                      <a:t>, </a:t>
                    </a:r>
                    <a:fld id="{B095A76A-163B-4F57-A12C-7A67FEF300C4}"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A15-4A93-82FD-8CD87E9DA8F1}"/>
                </c:ext>
              </c:extLst>
            </c:dLbl>
            <c:dLbl>
              <c:idx val="1"/>
              <c:tx>
                <c:rich>
                  <a:bodyPr/>
                  <a:lstStyle/>
                  <a:p>
                    <a:fld id="{6F32CA6A-188D-49A7-A6CA-77DB88151D62}" type="CELLRANGE">
                      <a:rPr lang="en-US"/>
                      <a:pPr/>
                      <a:t>[CELLRANGE]</a:t>
                    </a:fld>
                    <a:r>
                      <a:rPr lang="en-US" baseline="0"/>
                      <a:t>, </a:t>
                    </a:r>
                    <a:fld id="{C1A7A7F5-9B48-41BF-AB9A-F258D4C05C95}"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A15-4A93-82FD-8CD87E9DA8F1}"/>
                </c:ext>
              </c:extLst>
            </c:dLbl>
            <c:dLbl>
              <c:idx val="2"/>
              <c:tx>
                <c:rich>
                  <a:bodyPr/>
                  <a:lstStyle/>
                  <a:p>
                    <a:fld id="{90C4191D-FAAB-4BA2-9754-EDE8507ABC17}" type="CELLRANGE">
                      <a:rPr lang="en-US"/>
                      <a:pPr/>
                      <a:t>[CELLRANGE]</a:t>
                    </a:fld>
                    <a:r>
                      <a:rPr lang="en-US" baseline="0"/>
                      <a:t>, </a:t>
                    </a:r>
                    <a:fld id="{21D1EBF4-0EF1-40B8-890D-6D1060ECA543}"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A15-4A93-82FD-8CD87E9DA8F1}"/>
                </c:ext>
              </c:extLst>
            </c:dLbl>
            <c:dLbl>
              <c:idx val="3"/>
              <c:tx>
                <c:rich>
                  <a:bodyPr/>
                  <a:lstStyle/>
                  <a:p>
                    <a:fld id="{EC66A0C7-B2F8-42F7-9DD2-44289BDFAF1F}" type="CELLRANGE">
                      <a:rPr lang="en-US"/>
                      <a:pPr/>
                      <a:t>[CELLRANGE]</a:t>
                    </a:fld>
                    <a:r>
                      <a:rPr lang="en-US" baseline="0"/>
                      <a:t>, </a:t>
                    </a:r>
                    <a:fld id="{902C8D64-AE5D-428B-B952-6CF451C7E52D}"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A15-4A93-82FD-8CD87E9DA8F1}"/>
                </c:ext>
              </c:extLst>
            </c:dLbl>
            <c:dLbl>
              <c:idx val="4"/>
              <c:tx>
                <c:rich>
                  <a:bodyPr/>
                  <a:lstStyle/>
                  <a:p>
                    <a:fld id="{1AB1CDE3-83A1-41BE-9158-57D99259AF15}" type="CELLRANGE">
                      <a:rPr lang="en-US"/>
                      <a:pPr/>
                      <a:t>[CELLRANGE]</a:t>
                    </a:fld>
                    <a:r>
                      <a:rPr lang="en-US" baseline="0"/>
                      <a:t>, </a:t>
                    </a:r>
                    <a:fld id="{9A01193D-93BA-481D-8BA4-0FD86F177E88}"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A15-4A93-82FD-8CD87E9DA8F1}"/>
                </c:ext>
              </c:extLst>
            </c:dLbl>
            <c:dLbl>
              <c:idx val="5"/>
              <c:tx>
                <c:rich>
                  <a:bodyPr/>
                  <a:lstStyle/>
                  <a:p>
                    <a:fld id="{C3CB27FA-03FD-4CAA-AC77-3904EE709ACF}" type="CELLRANGE">
                      <a:rPr lang="en-US"/>
                      <a:pPr/>
                      <a:t>[CELLRANGE]</a:t>
                    </a:fld>
                    <a:r>
                      <a:rPr lang="en-US" baseline="0"/>
                      <a:t>, </a:t>
                    </a:r>
                    <a:fld id="{7CFC04A1-7477-4527-A7AB-186F78CB0C37}"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A15-4A93-82FD-8CD87E9DA8F1}"/>
                </c:ext>
              </c:extLst>
            </c:dLbl>
            <c:dLbl>
              <c:idx val="6"/>
              <c:layout>
                <c:manualLayout>
                  <c:x val="1.2660135043339245E-2"/>
                  <c:y val="0"/>
                </c:manualLayout>
              </c:layout>
              <c:tx>
                <c:rich>
                  <a:bodyPr/>
                  <a:lstStyle/>
                  <a:p>
                    <a:fld id="{231FAE38-1113-4056-A7B8-0208E99C036E}" type="CELLRANGE">
                      <a:rPr lang="en-US" baseline="0"/>
                      <a:pPr/>
                      <a:t>[CELLRANGE]</a:t>
                    </a:fld>
                    <a:r>
                      <a:rPr lang="en-US" baseline="0"/>
                      <a:t>, </a:t>
                    </a:r>
                    <a:fld id="{DA6EF5DB-8EEF-439E-86F5-7B2F63960EC9}" type="VALUE">
                      <a:rPr lang="en-US" baseline="0"/>
                      <a:pPr/>
                      <a:t>[VALUE]</a:t>
                    </a:fld>
                    <a:endParaRPr lang="en-US" baseline="0"/>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1A15-4A93-82FD-8CD87E9DA8F1}"/>
                </c:ext>
              </c:extLst>
            </c:dLbl>
            <c:dLbl>
              <c:idx val="7"/>
              <c:layout>
                <c:manualLayout>
                  <c:x val="0.11213262466957617"/>
                  <c:y val="5.7817389012237708E-3"/>
                </c:manualLayout>
              </c:layout>
              <c:tx>
                <c:rich>
                  <a:bodyPr/>
                  <a:lstStyle/>
                  <a:p>
                    <a:fld id="{0CE7EA98-5C2C-415A-975E-C97D234AC4A5}" type="CELLRANGE">
                      <a:rPr lang="en-US" baseline="0"/>
                      <a:pPr/>
                      <a:t>[CELLRANGE]</a:t>
                    </a:fld>
                    <a:r>
                      <a:rPr lang="en-US" baseline="0"/>
                      <a:t>, </a:t>
                    </a:r>
                    <a:fld id="{D148A938-CB73-4FE9-9670-0FCF50E37785}" type="VALUE">
                      <a:rPr lang="en-US" baseline="0"/>
                      <a:pPr/>
                      <a:t>[VALUE]</a:t>
                    </a:fld>
                    <a:endParaRPr lang="en-US" baseline="0"/>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1A15-4A93-82FD-8CD87E9DA8F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Charts!$A$121:$A$128</c:f>
              <c:strCache>
                <c:ptCount val="8"/>
                <c:pt idx="0">
                  <c:v>Water Heating</c:v>
                </c:pt>
                <c:pt idx="1">
                  <c:v>Fans</c:v>
                </c:pt>
                <c:pt idx="2">
                  <c:v>Lighting</c:v>
                </c:pt>
                <c:pt idx="3">
                  <c:v>TV</c:v>
                </c:pt>
                <c:pt idx="4">
                  <c:v>Refrigeration</c:v>
                </c:pt>
                <c:pt idx="5">
                  <c:v>AC</c:v>
                </c:pt>
                <c:pt idx="6">
                  <c:v>Cooking</c:v>
                </c:pt>
                <c:pt idx="7">
                  <c:v>Clothes Washing/Drying</c:v>
                </c:pt>
              </c:strCache>
            </c:strRef>
          </c:cat>
          <c:val>
            <c:numRef>
              <c:f>Charts!$B$121:$B$128</c:f>
              <c:numCache>
                <c:formatCode>0%</c:formatCode>
                <c:ptCount val="8"/>
                <c:pt idx="0">
                  <c:v>0.33</c:v>
                </c:pt>
                <c:pt idx="1">
                  <c:v>0.19</c:v>
                </c:pt>
                <c:pt idx="2">
                  <c:v>0.13</c:v>
                </c:pt>
                <c:pt idx="3">
                  <c:v>0.13</c:v>
                </c:pt>
                <c:pt idx="4">
                  <c:v>0.09</c:v>
                </c:pt>
                <c:pt idx="5">
                  <c:v>7.0000000000000007E-2</c:v>
                </c:pt>
                <c:pt idx="6">
                  <c:v>0.05</c:v>
                </c:pt>
                <c:pt idx="7">
                  <c:v>0.01</c:v>
                </c:pt>
              </c:numCache>
            </c:numRef>
          </c:val>
          <c:extLst>
            <c:ext xmlns:c15="http://schemas.microsoft.com/office/drawing/2012/chart" uri="{02D57815-91ED-43cb-92C2-25804820EDAC}">
              <c15:datalabelsRange>
                <c15:f>Charts!$A$121:$A$129</c15:f>
                <c15:dlblRangeCache>
                  <c:ptCount val="9"/>
                  <c:pt idx="0">
                    <c:v>Water Heating</c:v>
                  </c:pt>
                  <c:pt idx="1">
                    <c:v>Fans</c:v>
                  </c:pt>
                  <c:pt idx="2">
                    <c:v>Lighting</c:v>
                  </c:pt>
                  <c:pt idx="3">
                    <c:v>TV</c:v>
                  </c:pt>
                  <c:pt idx="4">
                    <c:v>Refrigeration</c:v>
                  </c:pt>
                  <c:pt idx="5">
                    <c:v>AC</c:v>
                  </c:pt>
                  <c:pt idx="6">
                    <c:v>Cooking</c:v>
                  </c:pt>
                  <c:pt idx="7">
                    <c:v>Clothes Washing/Drying</c:v>
                  </c:pt>
                </c15:dlblRangeCache>
              </c15:datalabelsRange>
            </c:ext>
            <c:ext xmlns:c16="http://schemas.microsoft.com/office/drawing/2014/chart" uri="{C3380CC4-5D6E-409C-BE32-E72D297353CC}">
              <c16:uniqueId val="{00000000-1A15-4A93-82FD-8CD87E9DA8F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pieChart>
        <c:varyColors val="1"/>
        <c:ser>
          <c:idx val="0"/>
          <c:order val="0"/>
          <c:dPt>
            <c:idx val="0"/>
            <c:bubble3D val="0"/>
            <c:spPr>
              <a:solidFill>
                <a:schemeClr val="accent2">
                  <a:shade val="58000"/>
                </a:schemeClr>
              </a:solidFill>
              <a:ln w="19050">
                <a:solidFill>
                  <a:schemeClr val="lt1"/>
                </a:solidFill>
              </a:ln>
              <a:effectLst/>
            </c:spPr>
            <c:extLst>
              <c:ext xmlns:c16="http://schemas.microsoft.com/office/drawing/2014/chart" uri="{C3380CC4-5D6E-409C-BE32-E72D297353CC}">
                <c16:uniqueId val="{00000002-93FB-4769-A1B7-47BE2F33AB4F}"/>
              </c:ext>
            </c:extLst>
          </c:dPt>
          <c:dPt>
            <c:idx val="1"/>
            <c:bubble3D val="0"/>
            <c:spPr>
              <a:solidFill>
                <a:schemeClr val="accent2">
                  <a:shade val="86000"/>
                </a:schemeClr>
              </a:solidFill>
              <a:ln w="19050">
                <a:solidFill>
                  <a:schemeClr val="lt1"/>
                </a:solidFill>
              </a:ln>
              <a:effectLst/>
            </c:spPr>
            <c:extLst>
              <c:ext xmlns:c16="http://schemas.microsoft.com/office/drawing/2014/chart" uri="{C3380CC4-5D6E-409C-BE32-E72D297353CC}">
                <c16:uniqueId val="{00000003-FC00-494D-B51F-908803367B7F}"/>
              </c:ext>
            </c:extLst>
          </c:dPt>
          <c:dPt>
            <c:idx val="2"/>
            <c:bubble3D val="0"/>
            <c:spPr>
              <a:solidFill>
                <a:schemeClr val="accent2">
                  <a:tint val="86000"/>
                </a:schemeClr>
              </a:solidFill>
              <a:ln w="19050">
                <a:solidFill>
                  <a:schemeClr val="lt1"/>
                </a:solidFill>
              </a:ln>
              <a:effectLst/>
            </c:spPr>
            <c:extLst>
              <c:ext xmlns:c16="http://schemas.microsoft.com/office/drawing/2014/chart" uri="{C3380CC4-5D6E-409C-BE32-E72D297353CC}">
                <c16:uniqueId val="{00000005-FC00-494D-B51F-908803367B7F}"/>
              </c:ext>
            </c:extLst>
          </c:dPt>
          <c:dPt>
            <c:idx val="3"/>
            <c:bubble3D val="0"/>
            <c:spPr>
              <a:solidFill>
                <a:schemeClr val="accent2">
                  <a:tint val="58000"/>
                </a:schemeClr>
              </a:solidFill>
              <a:ln w="19050">
                <a:solidFill>
                  <a:schemeClr val="lt1"/>
                </a:solidFill>
              </a:ln>
              <a:effectLst/>
            </c:spPr>
            <c:extLst>
              <c:ext xmlns:c16="http://schemas.microsoft.com/office/drawing/2014/chart" uri="{C3380CC4-5D6E-409C-BE32-E72D297353CC}">
                <c16:uniqueId val="{00000007-FC00-494D-B51F-908803367B7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Charts!$A$131:$A$134</c:f>
              <c:strCache>
                <c:ptCount val="4"/>
                <c:pt idx="0">
                  <c:v>HVAC</c:v>
                </c:pt>
                <c:pt idx="1">
                  <c:v>Equipment</c:v>
                </c:pt>
                <c:pt idx="2">
                  <c:v>Lighting</c:v>
                </c:pt>
                <c:pt idx="3">
                  <c:v>Refrigeration</c:v>
                </c:pt>
              </c:strCache>
            </c:strRef>
          </c:cat>
          <c:val>
            <c:numRef>
              <c:f>Charts!$B$131:$B$134</c:f>
              <c:numCache>
                <c:formatCode>0%</c:formatCode>
                <c:ptCount val="4"/>
                <c:pt idx="0">
                  <c:v>0.54184045039430029</c:v>
                </c:pt>
                <c:pt idx="1">
                  <c:v>0.23765824065639074</c:v>
                </c:pt>
                <c:pt idx="2">
                  <c:v>0.21025284073243997</c:v>
                </c:pt>
                <c:pt idx="3">
                  <c:v>9.946685736205026E-3</c:v>
                </c:pt>
              </c:numCache>
            </c:numRef>
          </c:val>
          <c:extLst>
            <c:ext xmlns:c16="http://schemas.microsoft.com/office/drawing/2014/chart" uri="{C3380CC4-5D6E-409C-BE32-E72D297353CC}">
              <c16:uniqueId val="{00000000-93FB-4769-A1B7-47BE2F33AB4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pieChart>
        <c:varyColors val="1"/>
        <c:ser>
          <c:idx val="0"/>
          <c:order val="0"/>
          <c:dPt>
            <c:idx val="0"/>
            <c:bubble3D val="0"/>
            <c:spPr>
              <a:solidFill>
                <a:schemeClr val="accent3">
                  <a:shade val="58000"/>
                </a:schemeClr>
              </a:solidFill>
              <a:ln w="19050">
                <a:solidFill>
                  <a:schemeClr val="lt1"/>
                </a:solidFill>
              </a:ln>
              <a:effectLst/>
            </c:spPr>
            <c:extLst>
              <c:ext xmlns:c16="http://schemas.microsoft.com/office/drawing/2014/chart" uri="{C3380CC4-5D6E-409C-BE32-E72D297353CC}">
                <c16:uniqueId val="{00000001-2D58-469F-AD4F-4A1B3FC3FBBD}"/>
              </c:ext>
            </c:extLst>
          </c:dPt>
          <c:dPt>
            <c:idx val="1"/>
            <c:bubble3D val="0"/>
            <c:spPr>
              <a:solidFill>
                <a:schemeClr val="accent3">
                  <a:shade val="86000"/>
                </a:schemeClr>
              </a:solidFill>
              <a:ln w="19050">
                <a:solidFill>
                  <a:schemeClr val="lt1"/>
                </a:solidFill>
              </a:ln>
              <a:effectLst/>
            </c:spPr>
            <c:extLst>
              <c:ext xmlns:c16="http://schemas.microsoft.com/office/drawing/2014/chart" uri="{C3380CC4-5D6E-409C-BE32-E72D297353CC}">
                <c16:uniqueId val="{00000003-2D58-469F-AD4F-4A1B3FC3FBBD}"/>
              </c:ext>
            </c:extLst>
          </c:dPt>
          <c:dPt>
            <c:idx val="2"/>
            <c:bubble3D val="0"/>
            <c:spPr>
              <a:solidFill>
                <a:schemeClr val="accent3">
                  <a:tint val="86000"/>
                </a:schemeClr>
              </a:solidFill>
              <a:ln w="19050">
                <a:solidFill>
                  <a:schemeClr val="lt1"/>
                </a:solidFill>
              </a:ln>
              <a:effectLst/>
            </c:spPr>
            <c:extLst>
              <c:ext xmlns:c16="http://schemas.microsoft.com/office/drawing/2014/chart" uri="{C3380CC4-5D6E-409C-BE32-E72D297353CC}">
                <c16:uniqueId val="{00000005-2D58-469F-AD4F-4A1B3FC3FBBD}"/>
              </c:ext>
            </c:extLst>
          </c:dPt>
          <c:dPt>
            <c:idx val="3"/>
            <c:bubble3D val="0"/>
            <c:spPr>
              <a:solidFill>
                <a:schemeClr val="accent3">
                  <a:tint val="58000"/>
                </a:schemeClr>
              </a:solidFill>
              <a:ln w="19050">
                <a:solidFill>
                  <a:schemeClr val="lt1"/>
                </a:solidFill>
              </a:ln>
              <a:effectLst/>
            </c:spPr>
            <c:extLst>
              <c:ext xmlns:c16="http://schemas.microsoft.com/office/drawing/2014/chart" uri="{C3380CC4-5D6E-409C-BE32-E72D297353CC}">
                <c16:uniqueId val="{00000007-2D58-469F-AD4F-4A1B3FC3FBBD}"/>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Charts!$A$137:$A$140</c:f>
              <c:strCache>
                <c:ptCount val="4"/>
                <c:pt idx="0">
                  <c:v>Machine Drive Motors</c:v>
                </c:pt>
                <c:pt idx="1">
                  <c:v>Process Use</c:v>
                </c:pt>
                <c:pt idx="2">
                  <c:v>Direct Use incl. Heating/Cooling</c:v>
                </c:pt>
                <c:pt idx="3">
                  <c:v>Other</c:v>
                </c:pt>
              </c:strCache>
            </c:strRef>
          </c:cat>
          <c:val>
            <c:numRef>
              <c:f>Charts!$B$137:$B$140</c:f>
              <c:numCache>
                <c:formatCode>0%</c:formatCode>
                <c:ptCount val="4"/>
                <c:pt idx="0">
                  <c:v>0.5</c:v>
                </c:pt>
                <c:pt idx="1">
                  <c:v>0.28999999999999998</c:v>
                </c:pt>
                <c:pt idx="2">
                  <c:v>0.17</c:v>
                </c:pt>
                <c:pt idx="3">
                  <c:v>0.04</c:v>
                </c:pt>
              </c:numCache>
            </c:numRef>
          </c:val>
          <c:extLst>
            <c:ext xmlns:c16="http://schemas.microsoft.com/office/drawing/2014/chart" uri="{C3380CC4-5D6E-409C-BE32-E72D297353CC}">
              <c16:uniqueId val="{00000000-FFEB-469B-8052-BC065024C11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'Siemens IRP Data'!$N$26:$N$27</c:f>
              <c:strCache>
                <c:ptCount val="2"/>
                <c:pt idx="0">
                  <c:v>Total Sales</c:v>
                </c:pt>
                <c:pt idx="1">
                  <c:v>Sales</c:v>
                </c:pt>
              </c:strCache>
            </c:strRef>
          </c:tx>
          <c:spPr>
            <a:ln w="19050" cap="rnd">
              <a:solidFill>
                <a:schemeClr val="accent1"/>
              </a:solidFill>
              <a:round/>
            </a:ln>
            <a:effectLst/>
          </c:spPr>
          <c:marker>
            <c:symbol val="none"/>
          </c:marker>
          <c:xVal>
            <c:numRef>
              <c:f>'Siemens IRP Data'!$J$28:$J$39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xVal>
          <c:yVal>
            <c:numRef>
              <c:f>'Siemens IRP Data'!$N$28:$N$39</c:f>
              <c:numCache>
                <c:formatCode>General</c:formatCode>
                <c:ptCount val="12"/>
                <c:pt idx="0">
                  <c:v>20230</c:v>
                </c:pt>
                <c:pt idx="1">
                  <c:v>19040</c:v>
                </c:pt>
                <c:pt idx="2">
                  <c:v>18704</c:v>
                </c:pt>
                <c:pt idx="3">
                  <c:v>18984</c:v>
                </c:pt>
                <c:pt idx="4">
                  <c:v>18251</c:v>
                </c:pt>
                <c:pt idx="5">
                  <c:v>18319</c:v>
                </c:pt>
                <c:pt idx="6">
                  <c:v>17793</c:v>
                </c:pt>
                <c:pt idx="7">
                  <c:v>17348</c:v>
                </c:pt>
                <c:pt idx="8">
                  <c:v>17256</c:v>
                </c:pt>
                <c:pt idx="9">
                  <c:v>17311</c:v>
                </c:pt>
                <c:pt idx="10">
                  <c:v>13558</c:v>
                </c:pt>
                <c:pt idx="11">
                  <c:v>16375</c:v>
                </c:pt>
              </c:numCache>
            </c:numRef>
          </c:yVal>
          <c:smooth val="1"/>
          <c:extLst>
            <c:ext xmlns:c16="http://schemas.microsoft.com/office/drawing/2014/chart" uri="{C3380CC4-5D6E-409C-BE32-E72D297353CC}">
              <c16:uniqueId val="{00000000-8130-4780-BF10-9692FD2E2F4F}"/>
            </c:ext>
          </c:extLst>
        </c:ser>
        <c:ser>
          <c:idx val="1"/>
          <c:order val="1"/>
          <c:tx>
            <c:strRef>
              <c:f>'Siemens IRP Data'!$O$26:$O$27</c:f>
              <c:strCache>
                <c:ptCount val="2"/>
                <c:pt idx="0">
                  <c:v>Peak</c:v>
                </c:pt>
                <c:pt idx="1">
                  <c:v>Demand</c:v>
                </c:pt>
              </c:strCache>
            </c:strRef>
          </c:tx>
          <c:spPr>
            <a:ln w="19050" cap="rnd">
              <a:solidFill>
                <a:schemeClr val="accent2"/>
              </a:solidFill>
              <a:round/>
            </a:ln>
            <a:effectLst/>
          </c:spPr>
          <c:marker>
            <c:symbol val="none"/>
          </c:marker>
          <c:xVal>
            <c:numRef>
              <c:f>'Siemens IRP Data'!$J$28:$J$39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xVal>
          <c:yVal>
            <c:numRef>
              <c:f>'Siemens IRP Data'!$U$28:$U$39</c:f>
              <c:numCache>
                <c:formatCode>General</c:formatCode>
                <c:ptCount val="12"/>
                <c:pt idx="0">
                  <c:v>31062.959999999999</c:v>
                </c:pt>
                <c:pt idx="1">
                  <c:v>29354.76</c:v>
                </c:pt>
                <c:pt idx="2">
                  <c:v>29819.040000000001</c:v>
                </c:pt>
                <c:pt idx="3">
                  <c:v>29836.559999999998</c:v>
                </c:pt>
                <c:pt idx="4">
                  <c:v>28934.28</c:v>
                </c:pt>
                <c:pt idx="5">
                  <c:v>28601.399999999998</c:v>
                </c:pt>
                <c:pt idx="6">
                  <c:v>27672.84</c:v>
                </c:pt>
                <c:pt idx="7">
                  <c:v>26542.799999999999</c:v>
                </c:pt>
                <c:pt idx="8">
                  <c:v>26980.799999999999</c:v>
                </c:pt>
                <c:pt idx="9">
                  <c:v>27042.12</c:v>
                </c:pt>
                <c:pt idx="10">
                  <c:v>26805.599999999999</c:v>
                </c:pt>
                <c:pt idx="11">
                  <c:v>23695.8</c:v>
                </c:pt>
              </c:numCache>
            </c:numRef>
          </c:yVal>
          <c:smooth val="1"/>
          <c:extLst>
            <c:ext xmlns:c16="http://schemas.microsoft.com/office/drawing/2014/chart" uri="{C3380CC4-5D6E-409C-BE32-E72D297353CC}">
              <c16:uniqueId val="{00000001-8130-4780-BF10-9692FD2E2F4F}"/>
            </c:ext>
          </c:extLst>
        </c:ser>
        <c:ser>
          <c:idx val="3"/>
          <c:order val="3"/>
          <c:tx>
            <c:strRef>
              <c:f>'Siemens IRP Data'!$Q$26:$Q$27</c:f>
              <c:strCache>
                <c:ptCount val="2"/>
                <c:pt idx="0">
                  <c:v>Peak</c:v>
                </c:pt>
                <c:pt idx="1">
                  <c:v>Gross Gen</c:v>
                </c:pt>
              </c:strCache>
            </c:strRef>
          </c:tx>
          <c:spPr>
            <a:ln w="19050" cap="rnd">
              <a:solidFill>
                <a:schemeClr val="accent4"/>
              </a:solidFill>
              <a:round/>
            </a:ln>
            <a:effectLst/>
          </c:spPr>
          <c:marker>
            <c:symbol val="none"/>
          </c:marker>
          <c:xVal>
            <c:numRef>
              <c:f>'Siemens IRP Data'!$J$28:$J$39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xVal>
          <c:yVal>
            <c:numRef>
              <c:f>'Siemens IRP Data'!$Q$28:$Q$39</c:f>
              <c:numCache>
                <c:formatCode>General</c:formatCode>
                <c:ptCount val="12"/>
                <c:pt idx="0">
                  <c:v>24636</c:v>
                </c:pt>
                <c:pt idx="1">
                  <c:v>23214</c:v>
                </c:pt>
                <c:pt idx="2">
                  <c:v>22989</c:v>
                </c:pt>
                <c:pt idx="3">
                  <c:v>23244</c:v>
                </c:pt>
                <c:pt idx="4">
                  <c:v>22257</c:v>
                </c:pt>
                <c:pt idx="5">
                  <c:v>22306</c:v>
                </c:pt>
                <c:pt idx="6">
                  <c:v>21493</c:v>
                </c:pt>
                <c:pt idx="7">
                  <c:v>21067</c:v>
                </c:pt>
                <c:pt idx="8">
                  <c:v>20911</c:v>
                </c:pt>
                <c:pt idx="9">
                  <c:v>20644</c:v>
                </c:pt>
                <c:pt idx="10">
                  <c:v>16361</c:v>
                </c:pt>
                <c:pt idx="11">
                  <c:v>17453</c:v>
                </c:pt>
              </c:numCache>
            </c:numRef>
          </c:yVal>
          <c:smooth val="1"/>
          <c:extLst>
            <c:ext xmlns:c16="http://schemas.microsoft.com/office/drawing/2014/chart" uri="{C3380CC4-5D6E-409C-BE32-E72D297353CC}">
              <c16:uniqueId val="{00000003-8130-4780-BF10-9692FD2E2F4F}"/>
            </c:ext>
          </c:extLst>
        </c:ser>
        <c:ser>
          <c:idx val="5"/>
          <c:order val="5"/>
          <c:tx>
            <c:strRef>
              <c:f>'Siemens IRP Data'!$S$26:$S$27</c:f>
              <c:strCache>
                <c:ptCount val="2"/>
                <c:pt idx="0">
                  <c:v>Peak</c:v>
                </c:pt>
                <c:pt idx="1">
                  <c:v>Net Generation</c:v>
                </c:pt>
              </c:strCache>
            </c:strRef>
          </c:tx>
          <c:spPr>
            <a:ln w="19050" cap="rnd">
              <a:solidFill>
                <a:schemeClr val="accent6"/>
              </a:solidFill>
              <a:round/>
            </a:ln>
            <a:effectLst/>
          </c:spPr>
          <c:marker>
            <c:symbol val="none"/>
          </c:marker>
          <c:xVal>
            <c:numRef>
              <c:f>'Siemens IRP Data'!$J$28:$J$39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xVal>
          <c:yVal>
            <c:numRef>
              <c:f>'Siemens IRP Data'!$S$28:$S$39</c:f>
              <c:numCache>
                <c:formatCode>General</c:formatCode>
                <c:ptCount val="12"/>
                <c:pt idx="0">
                  <c:v>23720</c:v>
                </c:pt>
                <c:pt idx="1">
                  <c:v>22337</c:v>
                </c:pt>
                <c:pt idx="2">
                  <c:v>22022</c:v>
                </c:pt>
                <c:pt idx="3">
                  <c:v>22216</c:v>
                </c:pt>
                <c:pt idx="4">
                  <c:v>21284</c:v>
                </c:pt>
                <c:pt idx="5">
                  <c:v>21297</c:v>
                </c:pt>
                <c:pt idx="6">
                  <c:v>20621</c:v>
                </c:pt>
                <c:pt idx="7">
                  <c:v>20272</c:v>
                </c:pt>
                <c:pt idx="8">
                  <c:v>20082</c:v>
                </c:pt>
                <c:pt idx="9">
                  <c:v>19880</c:v>
                </c:pt>
                <c:pt idx="10">
                  <c:v>15698</c:v>
                </c:pt>
                <c:pt idx="11">
                  <c:v>16789</c:v>
                </c:pt>
              </c:numCache>
            </c:numRef>
          </c:yVal>
          <c:smooth val="1"/>
          <c:extLst>
            <c:ext xmlns:c16="http://schemas.microsoft.com/office/drawing/2014/chart" uri="{C3380CC4-5D6E-409C-BE32-E72D297353CC}">
              <c16:uniqueId val="{00000005-8130-4780-BF10-9692FD2E2F4F}"/>
            </c:ext>
          </c:extLst>
        </c:ser>
        <c:dLbls>
          <c:showLegendKey val="0"/>
          <c:showVal val="0"/>
          <c:showCatName val="0"/>
          <c:showSerName val="0"/>
          <c:showPercent val="0"/>
          <c:showBubbleSize val="0"/>
        </c:dLbls>
        <c:axId val="414080255"/>
        <c:axId val="1667530143"/>
      </c:scatterChart>
      <c:scatterChart>
        <c:scatterStyle val="smoothMarker"/>
        <c:varyColors val="0"/>
        <c:ser>
          <c:idx val="2"/>
          <c:order val="2"/>
          <c:tx>
            <c:strRef>
              <c:f>'Siemens IRP Data'!$P$26:$P$27</c:f>
              <c:strCache>
                <c:ptCount val="2"/>
                <c:pt idx="0">
                  <c:v>Peak</c:v>
                </c:pt>
                <c:pt idx="1">
                  <c:v>Load Fac</c:v>
                </c:pt>
              </c:strCache>
            </c:strRef>
          </c:tx>
          <c:spPr>
            <a:ln w="19050" cap="rnd">
              <a:solidFill>
                <a:schemeClr val="accent3"/>
              </a:solidFill>
              <a:round/>
            </a:ln>
            <a:effectLst/>
          </c:spPr>
          <c:marker>
            <c:symbol val="none"/>
          </c:marker>
          <c:xVal>
            <c:numRef>
              <c:f>'Siemens IRP Data'!$J$28:$J$39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xVal>
          <c:yVal>
            <c:numRef>
              <c:f>'Siemens IRP Data'!$P$28:$P$39</c:f>
              <c:numCache>
                <c:formatCode>General</c:formatCode>
                <c:ptCount val="12"/>
                <c:pt idx="0">
                  <c:v>0.65125796125031221</c:v>
                </c:pt>
                <c:pt idx="1">
                  <c:v>0.64861712376459557</c:v>
                </c:pt>
                <c:pt idx="2">
                  <c:v>0.6272502401150406</c:v>
                </c:pt>
                <c:pt idx="3">
                  <c:v>0.63626637923406726</c:v>
                </c:pt>
                <c:pt idx="4">
                  <c:v>0.6307742926383515</c:v>
                </c:pt>
                <c:pt idx="5">
                  <c:v>0.64049312271427283</c:v>
                </c:pt>
                <c:pt idx="6">
                  <c:v>0.64297701284002651</c:v>
                </c:pt>
                <c:pt idx="7">
                  <c:v>0.65358590653585913</c:v>
                </c:pt>
                <c:pt idx="8">
                  <c:v>0.63956591353851622</c:v>
                </c:pt>
                <c:pt idx="9">
                  <c:v>0.64014951490489647</c:v>
                </c:pt>
                <c:pt idx="10">
                  <c:v>0.50578983495985919</c:v>
                </c:pt>
                <c:pt idx="11">
                  <c:v>0.6910507347293614</c:v>
                </c:pt>
              </c:numCache>
            </c:numRef>
          </c:yVal>
          <c:smooth val="1"/>
          <c:extLst>
            <c:ext xmlns:c16="http://schemas.microsoft.com/office/drawing/2014/chart" uri="{C3380CC4-5D6E-409C-BE32-E72D297353CC}">
              <c16:uniqueId val="{00000002-8130-4780-BF10-9692FD2E2F4F}"/>
            </c:ext>
          </c:extLst>
        </c:ser>
        <c:ser>
          <c:idx val="4"/>
          <c:order val="4"/>
          <c:tx>
            <c:strRef>
              <c:f>'Siemens IRP Data'!$R$26:$R$27</c:f>
              <c:strCache>
                <c:ptCount val="2"/>
                <c:pt idx="0">
                  <c:v>Peak</c:v>
                </c:pt>
                <c:pt idx="1">
                  <c:v>Load Fac</c:v>
                </c:pt>
              </c:strCache>
            </c:strRef>
          </c:tx>
          <c:spPr>
            <a:ln w="19050" cap="rnd">
              <a:solidFill>
                <a:schemeClr val="accent5"/>
              </a:solidFill>
              <a:round/>
            </a:ln>
            <a:effectLst/>
          </c:spPr>
          <c:marker>
            <c:symbol val="none"/>
          </c:marker>
          <c:xVal>
            <c:numRef>
              <c:f>'Siemens IRP Data'!$J$28:$J$39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xVal>
          <c:yVal>
            <c:numRef>
              <c:f>'Siemens IRP Data'!$R$28:$R$39</c:f>
              <c:numCache>
                <c:formatCode>General</c:formatCode>
                <c:ptCount val="12"/>
                <c:pt idx="0">
                  <c:v>0.79309891909850183</c:v>
                </c:pt>
                <c:pt idx="1">
                  <c:v>0.7908087138167712</c:v>
                </c:pt>
                <c:pt idx="2">
                  <c:v>0.77095037264781163</c:v>
                </c:pt>
                <c:pt idx="3">
                  <c:v>0.779044232981282</c:v>
                </c:pt>
                <c:pt idx="4">
                  <c:v>0.76922598385029806</c:v>
                </c:pt>
                <c:pt idx="5">
                  <c:v>0.77989189340381937</c:v>
                </c:pt>
                <c:pt idx="6">
                  <c:v>0.7766821186405154</c:v>
                </c:pt>
                <c:pt idx="7">
                  <c:v>0.79369923293699229</c:v>
                </c:pt>
                <c:pt idx="8">
                  <c:v>0.77503261578604044</c:v>
                </c:pt>
                <c:pt idx="9">
                  <c:v>0.76340168596249114</c:v>
                </c:pt>
                <c:pt idx="10">
                  <c:v>0.61035753723102637</c:v>
                </c:pt>
                <c:pt idx="11">
                  <c:v>0.73654402889963622</c:v>
                </c:pt>
              </c:numCache>
            </c:numRef>
          </c:yVal>
          <c:smooth val="1"/>
          <c:extLst>
            <c:ext xmlns:c16="http://schemas.microsoft.com/office/drawing/2014/chart" uri="{C3380CC4-5D6E-409C-BE32-E72D297353CC}">
              <c16:uniqueId val="{00000004-8130-4780-BF10-9692FD2E2F4F}"/>
            </c:ext>
          </c:extLst>
        </c:ser>
        <c:ser>
          <c:idx val="6"/>
          <c:order val="6"/>
          <c:tx>
            <c:strRef>
              <c:f>'Siemens IRP Data'!$T$26:$T$27</c:f>
              <c:strCache>
                <c:ptCount val="2"/>
                <c:pt idx="0">
                  <c:v>Peak</c:v>
                </c:pt>
                <c:pt idx="1">
                  <c:v>Net Load Factor</c:v>
                </c:pt>
              </c:strCache>
            </c:strRef>
          </c:tx>
          <c:spPr>
            <a:ln w="19050" cap="rnd">
              <a:solidFill>
                <a:schemeClr val="accent1">
                  <a:lumMod val="60000"/>
                </a:schemeClr>
              </a:solidFill>
              <a:round/>
            </a:ln>
            <a:effectLst/>
          </c:spPr>
          <c:marker>
            <c:symbol val="none"/>
          </c:marker>
          <c:xVal>
            <c:numRef>
              <c:f>'Siemens IRP Data'!$J$28:$J$39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xVal>
          <c:yVal>
            <c:numRef>
              <c:f>'Siemens IRP Data'!$T$28:$T$39</c:f>
              <c:numCache>
                <c:formatCode>General</c:formatCode>
                <c:ptCount val="12"/>
                <c:pt idx="0">
                  <c:v>0.76361042218771158</c:v>
                </c:pt>
                <c:pt idx="1">
                  <c:v>0.76093280953412668</c:v>
                </c:pt>
                <c:pt idx="2">
                  <c:v>0.73852142791987929</c:v>
                </c:pt>
                <c:pt idx="3">
                  <c:v>0.74458985888453633</c:v>
                </c:pt>
                <c:pt idx="4">
                  <c:v>0.73559805186097593</c:v>
                </c:pt>
                <c:pt idx="5">
                  <c:v>0.74461390001888017</c:v>
                </c:pt>
                <c:pt idx="6">
                  <c:v>0.74517107748969746</c:v>
                </c:pt>
                <c:pt idx="7">
                  <c:v>0.76374760763747607</c:v>
                </c:pt>
                <c:pt idx="8">
                  <c:v>0.74430706280021353</c:v>
                </c:pt>
                <c:pt idx="9">
                  <c:v>0.73514946313380758</c:v>
                </c:pt>
                <c:pt idx="10">
                  <c:v>0.58562389948368998</c:v>
                </c:pt>
                <c:pt idx="11">
                  <c:v>0.70852218536618305</c:v>
                </c:pt>
              </c:numCache>
            </c:numRef>
          </c:yVal>
          <c:smooth val="1"/>
          <c:extLst>
            <c:ext xmlns:c16="http://schemas.microsoft.com/office/drawing/2014/chart" uri="{C3380CC4-5D6E-409C-BE32-E72D297353CC}">
              <c16:uniqueId val="{00000006-8130-4780-BF10-9692FD2E2F4F}"/>
            </c:ext>
          </c:extLst>
        </c:ser>
        <c:dLbls>
          <c:showLegendKey val="0"/>
          <c:showVal val="0"/>
          <c:showCatName val="0"/>
          <c:showSerName val="0"/>
          <c:showPercent val="0"/>
          <c:showBubbleSize val="0"/>
        </c:dLbls>
        <c:axId val="535531151"/>
        <c:axId val="535532399"/>
      </c:scatterChart>
      <c:valAx>
        <c:axId val="41408025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7530143"/>
        <c:crosses val="autoZero"/>
        <c:crossBetween val="midCat"/>
      </c:valAx>
      <c:valAx>
        <c:axId val="16675301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080255"/>
        <c:crosses val="autoZero"/>
        <c:crossBetween val="midCat"/>
      </c:valAx>
      <c:valAx>
        <c:axId val="535532399"/>
        <c:scaling>
          <c:orientation val="minMax"/>
        </c:scaling>
        <c:delete val="0"/>
        <c:axPos val="r"/>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531151"/>
        <c:crosses val="max"/>
        <c:crossBetween val="midCat"/>
      </c:valAx>
      <c:valAx>
        <c:axId val="535531151"/>
        <c:scaling>
          <c:orientation val="minMax"/>
        </c:scaling>
        <c:delete val="1"/>
        <c:axPos val="b"/>
        <c:numFmt formatCode="General" sourceLinked="1"/>
        <c:majorTickMark val="out"/>
        <c:minorTickMark val="none"/>
        <c:tickLblPos val="nextTo"/>
        <c:crossAx val="53553239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a:latin typeface="Arial" panose="020B0604020202020204" pitchFamily="34" charset="0"/>
                <a:cs typeface="Arial" panose="020B0604020202020204" pitchFamily="34" charset="0"/>
              </a:rPr>
              <a:t>Fig</a:t>
            </a:r>
            <a:r>
              <a:rPr lang="en-US" sz="1200" b="1" i="0" baseline="0">
                <a:latin typeface="Arial" panose="020B0604020202020204" pitchFamily="34" charset="0"/>
                <a:cs typeface="Arial" panose="020B0604020202020204" pitchFamily="34" charset="0"/>
              </a:rPr>
              <a:t> 3. Business As Usual Electricity Consumption (GWh) </a:t>
            </a:r>
            <a:endParaRPr lang="en-US" sz="1200" b="1" i="0">
              <a:latin typeface="Arial" panose="020B0604020202020204" pitchFamily="34" charset="0"/>
              <a:cs typeface="Arial" panose="020B0604020202020204" pitchFamily="34" charset="0"/>
            </a:endParaRPr>
          </a:p>
        </c:rich>
      </c:tx>
      <c:layout>
        <c:manualLayout>
          <c:xMode val="edge"/>
          <c:yMode val="edge"/>
          <c:x val="0.14371532942350526"/>
          <c:y val="1.655719794847191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01-D9D8-4159-A7AD-4D5F530F1C95}"/>
              </c:ext>
            </c:extLst>
          </c:dPt>
          <c:dPt>
            <c:idx val="1"/>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3-D9D8-4159-A7AD-4D5F530F1C95}"/>
              </c:ext>
            </c:extLst>
          </c:dPt>
          <c:dPt>
            <c:idx val="2"/>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5-D9D8-4159-A7AD-4D5F530F1C9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9D8-4159-A7AD-4D5F530F1C9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9D8-4159-A7AD-4D5F530F1C95}"/>
              </c:ext>
            </c:extLst>
          </c:dPt>
          <c:dLbls>
            <c:dLbl>
              <c:idx val="0"/>
              <c:layout>
                <c:manualLayout>
                  <c:x val="-5.160413466116491E-2"/>
                  <c:y val="-9.4958701195017564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9D8-4159-A7AD-4D5F530F1C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Dashboard!$W$53:$W$57</c:f>
              <c:strCache>
                <c:ptCount val="5"/>
                <c:pt idx="0">
                  <c:v>Residential</c:v>
                </c:pt>
                <c:pt idx="1">
                  <c:v>Commercial</c:v>
                </c:pt>
                <c:pt idx="2">
                  <c:v>Industrial </c:v>
                </c:pt>
                <c:pt idx="3">
                  <c:v>Street Lighting</c:v>
                </c:pt>
                <c:pt idx="4">
                  <c:v>Other</c:v>
                </c:pt>
              </c:strCache>
            </c:strRef>
          </c:cat>
          <c:val>
            <c:numRef>
              <c:f>Dashboard!$X$53:$X$57</c:f>
              <c:numCache>
                <c:formatCode>#,##0</c:formatCode>
                <c:ptCount val="5"/>
                <c:pt idx="0">
                  <c:v>5806.9448509235799</c:v>
                </c:pt>
                <c:pt idx="1">
                  <c:v>8960.3101268901337</c:v>
                </c:pt>
                <c:pt idx="2">
                  <c:v>2385.3082098952568</c:v>
                </c:pt>
                <c:pt idx="3">
                  <c:v>361.79111721010747</c:v>
                </c:pt>
                <c:pt idx="4">
                  <c:v>71.045695080922073</c:v>
                </c:pt>
              </c:numCache>
            </c:numRef>
          </c:val>
          <c:extLst>
            <c:ext xmlns:c16="http://schemas.microsoft.com/office/drawing/2014/chart" uri="{C3380CC4-5D6E-409C-BE32-E72D297353CC}">
              <c16:uniqueId val="{0000000A-D9D8-4159-A7AD-4D5F530F1C9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spPr>
            <a:ln w="28575" cap="rnd">
              <a:solidFill>
                <a:schemeClr val="accent1"/>
              </a:solidFill>
              <a:round/>
            </a:ln>
            <a:effectLst/>
          </c:spPr>
          <c:marker>
            <c:symbol val="none"/>
          </c:marker>
          <c: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val>
          <c:smooth val="0"/>
          <c:extLst>
            <c:ext xmlns:c16="http://schemas.microsoft.com/office/drawing/2014/chart" uri="{C3380CC4-5D6E-409C-BE32-E72D297353CC}">
              <c16:uniqueId val="{00000000-07A4-4F53-A2AD-99DBC1638415}"/>
            </c:ext>
          </c:extLst>
        </c:ser>
        <c:ser>
          <c:idx val="1"/>
          <c:order val="1"/>
          <c:spPr>
            <a:ln w="28575" cap="rnd">
              <a:solidFill>
                <a:schemeClr val="accent2"/>
              </a:solidFill>
              <a:round/>
            </a:ln>
            <a:effectLst/>
          </c:spPr>
          <c:marker>
            <c:symbol val="none"/>
          </c:marker>
          <c: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val>
          <c:smooth val="0"/>
          <c:extLst>
            <c:ext xmlns:c16="http://schemas.microsoft.com/office/drawing/2014/chart" uri="{C3380CC4-5D6E-409C-BE32-E72D297353CC}">
              <c16:uniqueId val="{00000001-07A4-4F53-A2AD-99DBC1638415}"/>
            </c:ext>
          </c:extLst>
        </c:ser>
        <c:ser>
          <c:idx val="2"/>
          <c:order val="2"/>
          <c:spPr>
            <a:ln w="28575" cap="rnd">
              <a:solidFill>
                <a:schemeClr val="accent3"/>
              </a:solidFill>
              <a:round/>
            </a:ln>
            <a:effectLst/>
          </c:spPr>
          <c:marker>
            <c:symbol val="none"/>
          </c:marker>
          <c: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val>
          <c:smooth val="0"/>
          <c:extLst>
            <c:ext xmlns:c16="http://schemas.microsoft.com/office/drawing/2014/chart" uri="{C3380CC4-5D6E-409C-BE32-E72D297353CC}">
              <c16:uniqueId val="{00000002-07A4-4F53-A2AD-99DBC1638415}"/>
            </c:ext>
          </c:extLst>
        </c:ser>
        <c:dLbls>
          <c:showLegendKey val="0"/>
          <c:showVal val="0"/>
          <c:showCatName val="0"/>
          <c:showSerName val="0"/>
          <c:showPercent val="0"/>
          <c:showBubbleSize val="0"/>
        </c:dLbls>
        <c:smooth val="0"/>
        <c:axId val="1781828751"/>
        <c:axId val="1869734911"/>
      </c:lineChart>
      <c:catAx>
        <c:axId val="1781828751"/>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9734911"/>
        <c:crosses val="autoZero"/>
        <c:auto val="1"/>
        <c:lblAlgn val="ctr"/>
        <c:lblOffset val="100"/>
        <c:noMultiLvlLbl val="0"/>
      </c:catAx>
      <c:valAx>
        <c:axId val="18697349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1828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Industrial Sector Scenarios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Baseline IRP Forecast</c:v>
          </c:tx>
          <c:spPr>
            <a:ln w="19050" cap="rnd">
              <a:solidFill>
                <a:schemeClr val="accent1"/>
              </a:solidFill>
              <a:round/>
            </a:ln>
            <a:effectLst/>
          </c:spPr>
          <c:marker>
            <c:symbol val="none"/>
          </c:marker>
          <c:x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xVal>
          <c:y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yVal>
          <c:smooth val="1"/>
          <c:extLst>
            <c:ext xmlns:c16="http://schemas.microsoft.com/office/drawing/2014/chart" uri="{C3380CC4-5D6E-409C-BE32-E72D297353CC}">
              <c16:uniqueId val="{00000000-D91E-48F1-A1F5-12DEFEBCE8E8}"/>
            </c:ext>
          </c:extLst>
        </c:ser>
        <c:ser>
          <c:idx val="1"/>
          <c:order val="1"/>
          <c:tx>
            <c:v>Low Adoption - 33%</c:v>
          </c:tx>
          <c:spPr>
            <a:ln w="19050" cap="rnd">
              <a:solidFill>
                <a:schemeClr val="accent2"/>
              </a:solidFill>
              <a:round/>
            </a:ln>
            <a:effectLst/>
          </c:spPr>
          <c:marker>
            <c:symbol val="none"/>
          </c:marker>
          <c:x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xVal>
          <c:y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yVal>
          <c:smooth val="1"/>
          <c:extLst>
            <c:ext xmlns:c16="http://schemas.microsoft.com/office/drawing/2014/chart" uri="{C3380CC4-5D6E-409C-BE32-E72D297353CC}">
              <c16:uniqueId val="{00000001-D91E-48F1-A1F5-12DEFEBCE8E8}"/>
            </c:ext>
          </c:extLst>
        </c:ser>
        <c:ser>
          <c:idx val="2"/>
          <c:order val="2"/>
          <c:tx>
            <c:v>Mid Adoption - 67%</c:v>
          </c:tx>
          <c:spPr>
            <a:ln w="19050" cap="rnd">
              <a:solidFill>
                <a:schemeClr val="accent3"/>
              </a:solidFill>
              <a:round/>
            </a:ln>
            <a:effectLst/>
          </c:spPr>
          <c:marker>
            <c:symbol val="none"/>
          </c:marker>
          <c:x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xVal>
          <c:y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yVal>
          <c:smooth val="1"/>
          <c:extLst>
            <c:ext xmlns:c16="http://schemas.microsoft.com/office/drawing/2014/chart" uri="{C3380CC4-5D6E-409C-BE32-E72D297353CC}">
              <c16:uniqueId val="{00000002-D91E-48F1-A1F5-12DEFEBCE8E8}"/>
            </c:ext>
          </c:extLst>
        </c:ser>
        <c:ser>
          <c:idx val="3"/>
          <c:order val="3"/>
          <c:tx>
            <c:v>High Adoption - 100%</c:v>
          </c:tx>
          <c:spPr>
            <a:ln w="19050" cap="rnd">
              <a:solidFill>
                <a:schemeClr val="accent4"/>
              </a:solidFill>
              <a:round/>
            </a:ln>
            <a:effectLst/>
          </c:spPr>
          <c:marker>
            <c:symbol val="none"/>
          </c:marker>
          <c:x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xVal>
          <c:yVal>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yVal>
          <c:smooth val="1"/>
          <c:extLst>
            <c:ext xmlns:c16="http://schemas.microsoft.com/office/drawing/2014/chart" uri="{C3380CC4-5D6E-409C-BE32-E72D297353CC}">
              <c16:uniqueId val="{00000003-D91E-48F1-A1F5-12DEFEBCE8E8}"/>
            </c:ext>
          </c:extLst>
        </c:ser>
        <c:dLbls>
          <c:showLegendKey val="0"/>
          <c:showVal val="0"/>
          <c:showCatName val="0"/>
          <c:showSerName val="0"/>
          <c:showPercent val="0"/>
          <c:showBubbleSize val="0"/>
        </c:dLbls>
        <c:axId val="2039613839"/>
        <c:axId val="1764751471"/>
      </c:scatterChart>
      <c:valAx>
        <c:axId val="2039613839"/>
        <c:scaling>
          <c:orientation val="minMax"/>
          <c:max val="2040"/>
          <c:min val="20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4751471"/>
        <c:crosses val="autoZero"/>
        <c:crossBetween val="midCat"/>
      </c:valAx>
      <c:valAx>
        <c:axId val="1764751471"/>
        <c:scaling>
          <c:orientation val="minMax"/>
          <c:min val="1000"/>
        </c:scaling>
        <c:delete val="0"/>
        <c:axPos val="l"/>
        <c:majorGridlines>
          <c:spPr>
            <a:ln w="9525" cap="flat" cmpd="sng" algn="ctr">
              <a:solidFill>
                <a:schemeClr val="accent3">
                  <a:lumMod val="60000"/>
                  <a:lumOff val="40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9613839"/>
        <c:crosses val="autoZero"/>
        <c:crossBetween val="midCat"/>
      </c:valAx>
      <c:spPr>
        <a:noFill/>
        <a:ln>
          <a:noFill/>
        </a:ln>
        <a:effectLst/>
      </c:spPr>
    </c:plotArea>
    <c:legend>
      <c:legendPos val="b"/>
      <c:layout>
        <c:manualLayout>
          <c:xMode val="edge"/>
          <c:yMode val="edge"/>
          <c:x val="0.35869496329611583"/>
          <c:y val="0.70951666384737255"/>
          <c:w val="0.57520739936662435"/>
          <c:h val="0.14879001716480938"/>
        </c:manualLayout>
      </c:layout>
      <c:overlay val="1"/>
      <c:spPr>
        <a:noFill/>
        <a:ln>
          <a:solidFill>
            <a:schemeClr val="accent3">
              <a:lumMod val="60000"/>
              <a:lumOff val="4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gra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spPr>
            <a:ln w="28575" cap="rnd">
              <a:solidFill>
                <a:schemeClr val="accent1"/>
              </a:solidFill>
              <a:round/>
            </a:ln>
            <a:effectLst/>
          </c:spPr>
          <c:marker>
            <c:symbol val="none"/>
          </c:marker>
          <c:val>
            <c:numRef>
              <c:f>Industrial!$J$19:$AD$19</c:f>
            </c:numRef>
          </c:val>
          <c:smooth val="0"/>
          <c:extLst>
            <c:ext xmlns:c16="http://schemas.microsoft.com/office/drawing/2014/chart" uri="{C3380CC4-5D6E-409C-BE32-E72D297353CC}">
              <c16:uniqueId val="{00000000-8C44-4A2C-8280-38C725BBED75}"/>
            </c:ext>
          </c:extLst>
        </c:ser>
        <c:ser>
          <c:idx val="1"/>
          <c:order val="1"/>
          <c:spPr>
            <a:ln w="28575" cap="rnd">
              <a:solidFill>
                <a:schemeClr val="accent2"/>
              </a:solidFill>
              <a:round/>
            </a:ln>
            <a:effectLst/>
          </c:spPr>
          <c:marker>
            <c:symbol val="none"/>
          </c:marker>
          <c:val>
            <c:numRef>
              <c:f>Industrial!$J$20:$AD$20</c:f>
            </c:numRef>
          </c:val>
          <c:smooth val="0"/>
          <c:extLst>
            <c:ext xmlns:c16="http://schemas.microsoft.com/office/drawing/2014/chart" uri="{C3380CC4-5D6E-409C-BE32-E72D297353CC}">
              <c16:uniqueId val="{00000001-8C44-4A2C-8280-38C725BBED75}"/>
            </c:ext>
          </c:extLst>
        </c:ser>
        <c:ser>
          <c:idx val="2"/>
          <c:order val="2"/>
          <c:spPr>
            <a:ln w="28575" cap="rnd">
              <a:solidFill>
                <a:schemeClr val="accent3"/>
              </a:solidFill>
              <a:round/>
            </a:ln>
            <a:effectLst/>
          </c:spPr>
          <c:marker>
            <c:symbol val="none"/>
          </c:marker>
          <c:val>
            <c:numRef>
              <c:f>Industrial!$J$21:$AD$21</c:f>
            </c:numRef>
          </c:val>
          <c:smooth val="0"/>
          <c:extLst>
            <c:ext xmlns:c16="http://schemas.microsoft.com/office/drawing/2014/chart" uri="{C3380CC4-5D6E-409C-BE32-E72D297353CC}">
              <c16:uniqueId val="{00000002-8C44-4A2C-8280-38C725BBED75}"/>
            </c:ext>
          </c:extLst>
        </c:ser>
        <c:dLbls>
          <c:showLegendKey val="0"/>
          <c:showVal val="0"/>
          <c:showCatName val="0"/>
          <c:showSerName val="0"/>
          <c:showPercent val="0"/>
          <c:showBubbleSize val="0"/>
        </c:dLbls>
        <c:marker val="1"/>
        <c:smooth val="0"/>
        <c:axId val="1781828751"/>
        <c:axId val="1869734911"/>
      </c:lineChart>
      <c:catAx>
        <c:axId val="1781828751"/>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9734911"/>
        <c:crosses val="autoZero"/>
        <c:auto val="1"/>
        <c:lblAlgn val="ctr"/>
        <c:lblOffset val="100"/>
        <c:noMultiLvlLbl val="0"/>
      </c:catAx>
      <c:valAx>
        <c:axId val="186973491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1828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Industrial EE Saving</a:t>
            </a:r>
            <a:r>
              <a:rPr lang="en-US" baseline="0"/>
              <a:t>s for Customers Implementing Measure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val>
            <c:numRef>
              <c:f>Industrial!$AK$41:$AK$52</c:f>
            </c:numRef>
          </c:val>
          <c:extLst>
            <c:ext xmlns:c15="http://schemas.microsoft.com/office/drawing/2012/chart" uri="{02D57815-91ED-43cb-92C2-25804820EDAC}">
              <c15:filteredCategoryTitle>
                <c15:cat>
                  <c:multiLvlStrRef>
                    <c:extLst>
                      <c:ext uri="{02D57815-91ED-43cb-92C2-25804820EDAC}">
                        <c15:formulaRef>
                          <c15:sqref>Industrial!$AJ$41:$AJ$52</c15:sqref>
                        </c15:formulaRef>
                      </c:ext>
                    </c:extLst>
                  </c:multiLvlStrRef>
                </c15:cat>
              </c15:filteredCategoryTitle>
            </c:ext>
            <c:ext xmlns:c16="http://schemas.microsoft.com/office/drawing/2014/chart" uri="{C3380CC4-5D6E-409C-BE32-E72D297353CC}">
              <c16:uniqueId val="{00000000-1995-4FBF-B4F1-F94240E51FA8}"/>
            </c:ext>
          </c:extLst>
        </c:ser>
        <c:dLbls>
          <c:showLegendKey val="0"/>
          <c:showVal val="0"/>
          <c:showCatName val="0"/>
          <c:showSerName val="0"/>
          <c:showPercent val="0"/>
          <c:showBubbleSize val="0"/>
        </c:dLbls>
        <c:gapWidth val="182"/>
        <c:axId val="535363759"/>
        <c:axId val="323781055"/>
      </c:barChart>
      <c:catAx>
        <c:axId val="535363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3781055"/>
        <c:crosses val="autoZero"/>
        <c:auto val="1"/>
        <c:lblAlgn val="ctr"/>
        <c:lblOffset val="100"/>
        <c:noMultiLvlLbl val="0"/>
      </c:catAx>
      <c:valAx>
        <c:axId val="323781055"/>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363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Industrial EE Savings for Customers Implementing Measure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609962277642132"/>
          <c:y val="0.13942296592766415"/>
          <c:w val="0.59467093627283807"/>
          <c:h val="0.77337371001131261"/>
        </c:manualLayout>
      </c:layout>
      <c:barChart>
        <c:barDir val="bar"/>
        <c:grouping val="clustered"/>
        <c:varyColors val="0"/>
        <c:ser>
          <c:idx val="0"/>
          <c:order val="0"/>
          <c:spPr>
            <a:solidFill>
              <a:schemeClr val="accent1"/>
            </a:solidFill>
            <a:ln>
              <a:noFill/>
            </a:ln>
            <a:effectLst/>
          </c:spPr>
          <c:invertIfNegative val="0"/>
          <c:val>
            <c:numRef>
              <c:f>Industrial!$AN$41:$AN$52</c:f>
            </c:numRef>
          </c:val>
          <c:extLst>
            <c:ext xmlns:c15="http://schemas.microsoft.com/office/drawing/2012/chart" uri="{02D57815-91ED-43cb-92C2-25804820EDAC}">
              <c15:filteredCategoryTitle>
                <c15:cat>
                  <c:multiLvlStrRef>
                    <c:extLst>
                      <c:ext uri="{02D57815-91ED-43cb-92C2-25804820EDAC}">
                        <c15:formulaRef>
                          <c15:sqref>Industrial!$AM$41:$AM$52</c15:sqref>
                        </c15:formulaRef>
                      </c:ext>
                    </c:extLst>
                  </c:multiLvlStrRef>
                </c15:cat>
              </c15:filteredCategoryTitle>
            </c:ext>
            <c:ext xmlns:c16="http://schemas.microsoft.com/office/drawing/2014/chart" uri="{C3380CC4-5D6E-409C-BE32-E72D297353CC}">
              <c16:uniqueId val="{00000000-9097-4309-9750-EFA3B3E365D1}"/>
            </c:ext>
          </c:extLst>
        </c:ser>
        <c:dLbls>
          <c:showLegendKey val="0"/>
          <c:showVal val="0"/>
          <c:showCatName val="0"/>
          <c:showSerName val="0"/>
          <c:showPercent val="0"/>
          <c:showBubbleSize val="0"/>
        </c:dLbls>
        <c:gapWidth val="182"/>
        <c:axId val="660049583"/>
        <c:axId val="653922911"/>
      </c:barChart>
      <c:catAx>
        <c:axId val="6600495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53922911"/>
        <c:crosses val="autoZero"/>
        <c:auto val="1"/>
        <c:lblAlgn val="ctr"/>
        <c:lblOffset val="100"/>
        <c:noMultiLvlLbl val="0"/>
      </c:catAx>
      <c:valAx>
        <c:axId val="653922911"/>
        <c:scaling>
          <c:orientation val="minMax"/>
          <c:max val="0.5"/>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049583"/>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withinLinear" id="15">
  <a:schemeClr val="accent2"/>
</cs:colorStyle>
</file>

<file path=xl/charts/colors35.xml><?xml version="1.0" encoding="utf-8"?>
<cs:colorStyle xmlns:cs="http://schemas.microsoft.com/office/drawing/2012/chartStyle" xmlns:a="http://schemas.openxmlformats.org/drawingml/2006/main" meth="withinLinear" id="16">
  <a:schemeClr val="accent3"/>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Dashboard!A1"/></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Dashboard!A1"/><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image" Target="../media/image4.png"/><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hyperlink" Target="#Dashboard!A1"/><Relationship Id="rId5" Type="http://schemas.openxmlformats.org/officeDocument/2006/relationships/image" Target="../media/image3.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3.xml"/><Relationship Id="rId7" Type="http://schemas.openxmlformats.org/officeDocument/2006/relationships/image" Target="../media/image7.png"/><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10" Type="http://schemas.openxmlformats.org/officeDocument/2006/relationships/chart" Target="../charts/chart19.xml"/><Relationship Id="rId4" Type="http://schemas.openxmlformats.org/officeDocument/2006/relationships/chart" Target="../charts/chart14.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6.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5.xml"/><Relationship Id="rId2" Type="http://schemas.openxmlformats.org/officeDocument/2006/relationships/chart" Target="../charts/chart21.xml"/><Relationship Id="rId16" Type="http://schemas.openxmlformats.org/officeDocument/2006/relationships/chart" Target="../charts/chart34.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image" Target="../media/image1.png"/><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chart" Target="../charts/chart37.xml"/><Relationship Id="rId5" Type="http://schemas.openxmlformats.org/officeDocument/2006/relationships/image" Target="../media/image12.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6</xdr:col>
      <xdr:colOff>172247</xdr:colOff>
      <xdr:row>5</xdr:row>
      <xdr:rowOff>67997</xdr:rowOff>
    </xdr:from>
    <xdr:to>
      <xdr:col>17</xdr:col>
      <xdr:colOff>595313</xdr:colOff>
      <xdr:row>23</xdr:row>
      <xdr:rowOff>56091</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172517</xdr:colOff>
      <xdr:row>23</xdr:row>
      <xdr:rowOff>105834</xdr:rowOff>
    </xdr:from>
    <xdr:to>
      <xdr:col>17</xdr:col>
      <xdr:colOff>604317</xdr:colOff>
      <xdr:row>43</xdr:row>
      <xdr:rowOff>66676</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510446</xdr:colOff>
      <xdr:row>44</xdr:row>
      <xdr:rowOff>9745</xdr:rowOff>
    </xdr:from>
    <xdr:to>
      <xdr:col>22</xdr:col>
      <xdr:colOff>1533</xdr:colOff>
      <xdr:row>63</xdr:row>
      <xdr:rowOff>49682</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159808</xdr:colOff>
      <xdr:row>44</xdr:row>
      <xdr:rowOff>12697</xdr:rowOff>
    </xdr:from>
    <xdr:to>
      <xdr:col>15</xdr:col>
      <xdr:colOff>313765</xdr:colOff>
      <xdr:row>63</xdr:row>
      <xdr:rowOff>56030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14</xdr:col>
      <xdr:colOff>44450</xdr:colOff>
      <xdr:row>51</xdr:row>
      <xdr:rowOff>152400</xdr:rowOff>
    </xdr:from>
    <xdr:to>
      <xdr:col>15</xdr:col>
      <xdr:colOff>330246</xdr:colOff>
      <xdr:row>56</xdr:row>
      <xdr:rowOff>28627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5"/>
        <a:stretch>
          <a:fillRect/>
        </a:stretch>
      </xdr:blipFill>
      <xdr:spPr>
        <a:xfrm>
          <a:off x="7658100" y="10255250"/>
          <a:ext cx="895396" cy="9970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319</xdr:row>
      <xdr:rowOff>0</xdr:rowOff>
    </xdr:from>
    <xdr:to>
      <xdr:col>4</xdr:col>
      <xdr:colOff>198088</xdr:colOff>
      <xdr:row>356</xdr:row>
      <xdr:rowOff>57334</xdr:rowOff>
    </xdr:to>
    <xdr:pic>
      <xdr:nvPicPr>
        <xdr:cNvPr id="2" name="Picture 1">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Lst>
        </a:blip>
        <a:srcRect l="5749" t="59408" r="13230" b="4641"/>
        <a:stretch/>
      </xdr:blipFill>
      <xdr:spPr bwMode="auto">
        <a:xfrm>
          <a:off x="0" y="58502550"/>
          <a:ext cx="6899682" cy="2768152"/>
        </a:xfrm>
        <a:prstGeom prst="rect">
          <a:avLst/>
        </a:prstGeom>
        <a:ln>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xdr:from>
          <xdr:col>5</xdr:col>
          <xdr:colOff>1394460</xdr:colOff>
          <xdr:row>81</xdr:row>
          <xdr:rowOff>114300</xdr:rowOff>
        </xdr:from>
        <xdr:to>
          <xdr:col>6</xdr:col>
          <xdr:colOff>1013460</xdr:colOff>
          <xdr:row>83</xdr:row>
          <xdr:rowOff>22860</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Reveal/Hide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1546860</xdr:colOff>
          <xdr:row>220</xdr:row>
          <xdr:rowOff>137160</xdr:rowOff>
        </xdr:from>
        <xdr:to>
          <xdr:col>1</xdr:col>
          <xdr:colOff>2819400</xdr:colOff>
          <xdr:row>222</xdr:row>
          <xdr:rowOff>22860</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Reveal/Hide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99060</xdr:colOff>
          <xdr:row>234</xdr:row>
          <xdr:rowOff>99060</xdr:rowOff>
        </xdr:from>
        <xdr:to>
          <xdr:col>3</xdr:col>
          <xdr:colOff>1394460</xdr:colOff>
          <xdr:row>235</xdr:row>
          <xdr:rowOff>289560</xdr:rowOff>
        </xdr:to>
        <xdr:sp macro="" textlink="">
          <xdr:nvSpPr>
            <xdr:cNvPr id="10243" name="Button 3" hidden="1">
              <a:extLst>
                <a:ext uri="{63B3BB69-23CF-44E3-9099-C40C66FF867C}">
                  <a14:compatExt spid="_x0000_s10243"/>
                </a:ext>
                <a:ext uri="{FF2B5EF4-FFF2-40B4-BE49-F238E27FC236}">
                  <a16:creationId xmlns:a16="http://schemas.microsoft.com/office/drawing/2014/main" id="{00000000-0008-0000-0400-00000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Reveal/Hide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1089660</xdr:colOff>
          <xdr:row>248</xdr:row>
          <xdr:rowOff>137160</xdr:rowOff>
        </xdr:from>
        <xdr:to>
          <xdr:col>1</xdr:col>
          <xdr:colOff>2385060</xdr:colOff>
          <xdr:row>253</xdr:row>
          <xdr:rowOff>22860</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00000000-0008-0000-0400-00000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Reveal/Hide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2308860</xdr:colOff>
          <xdr:row>254</xdr:row>
          <xdr:rowOff>137160</xdr:rowOff>
        </xdr:from>
        <xdr:to>
          <xdr:col>1</xdr:col>
          <xdr:colOff>3581400</xdr:colOff>
          <xdr:row>268</xdr:row>
          <xdr:rowOff>22860</xdr:rowOff>
        </xdr:to>
        <xdr:sp macro="" textlink="">
          <xdr:nvSpPr>
            <xdr:cNvPr id="10245" name="Button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Reveal/Hide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1028700</xdr:colOff>
          <xdr:row>269</xdr:row>
          <xdr:rowOff>175260</xdr:rowOff>
        </xdr:from>
        <xdr:to>
          <xdr:col>7</xdr:col>
          <xdr:colOff>2308860</xdr:colOff>
          <xdr:row>271</xdr:row>
          <xdr:rowOff>60960</xdr:rowOff>
        </xdr:to>
        <xdr:sp macro="" textlink="">
          <xdr:nvSpPr>
            <xdr:cNvPr id="10246" name="Button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Reveal/Hide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2971800</xdr:colOff>
          <xdr:row>317</xdr:row>
          <xdr:rowOff>22860</xdr:rowOff>
        </xdr:from>
        <xdr:to>
          <xdr:col>2</xdr:col>
          <xdr:colOff>251460</xdr:colOff>
          <xdr:row>318</xdr:row>
          <xdr:rowOff>99060</xdr:rowOff>
        </xdr:to>
        <xdr:sp macro="" textlink="">
          <xdr:nvSpPr>
            <xdr:cNvPr id="10247" name="Button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Reveal/Hide Data</a:t>
              </a:r>
            </a:p>
          </xdr:txBody>
        </xdr:sp>
        <xdr:clientData fPrintsWithSheet="0"/>
      </xdr:twoCellAnchor>
    </mc:Choice>
    <mc:Fallback/>
  </mc:AlternateContent>
  <xdr:twoCellAnchor editAs="oneCell">
    <xdr:from>
      <xdr:col>1</xdr:col>
      <xdr:colOff>2197858</xdr:colOff>
      <xdr:row>2</xdr:row>
      <xdr:rowOff>84819</xdr:rowOff>
    </xdr:from>
    <xdr:to>
      <xdr:col>7</xdr:col>
      <xdr:colOff>744558</xdr:colOff>
      <xdr:row>4</xdr:row>
      <xdr:rowOff>67885</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379287" y="447676"/>
          <a:ext cx="10123354" cy="342748"/>
        </a:xfrm>
        <a:prstGeom prst="rect">
          <a:avLst/>
        </a:prstGeom>
      </xdr:spPr>
    </xdr:pic>
    <xdr:clientData/>
  </xdr:twoCellAnchor>
  <xdr:twoCellAnchor editAs="oneCell">
    <xdr:from>
      <xdr:col>3</xdr:col>
      <xdr:colOff>1401231</xdr:colOff>
      <xdr:row>6</xdr:row>
      <xdr:rowOff>116416</xdr:rowOff>
    </xdr:from>
    <xdr:to>
      <xdr:col>5</xdr:col>
      <xdr:colOff>476367</xdr:colOff>
      <xdr:row>8</xdr:row>
      <xdr:rowOff>45509</xdr:rowOff>
    </xdr:to>
    <xdr:pic>
      <xdr:nvPicPr>
        <xdr:cNvPr id="13" name="Picture 12">
          <a:hlinkClick xmlns:r="http://schemas.openxmlformats.org/officeDocument/2006/relationships" r:id="rId4"/>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5"/>
        <a:stretch>
          <a:fillRect/>
        </a:stretch>
      </xdr:blipFill>
      <xdr:spPr>
        <a:xfrm>
          <a:off x="6597648" y="1206499"/>
          <a:ext cx="1737601" cy="662518"/>
        </a:xfrm>
        <a:prstGeom prst="rect">
          <a:avLst/>
        </a:prstGeom>
      </xdr:spPr>
    </xdr:pic>
    <xdr:clientData/>
  </xdr:twoCellAnchor>
  <xdr:twoCellAnchor editAs="oneCell">
    <xdr:from>
      <xdr:col>1</xdr:col>
      <xdr:colOff>0</xdr:colOff>
      <xdr:row>356</xdr:row>
      <xdr:rowOff>0</xdr:rowOff>
    </xdr:from>
    <xdr:to>
      <xdr:col>6</xdr:col>
      <xdr:colOff>941043</xdr:colOff>
      <xdr:row>379</xdr:row>
      <xdr:rowOff>106154</xdr:rowOff>
    </xdr:to>
    <xdr:pic>
      <xdr:nvPicPr>
        <xdr:cNvPr id="12" name="Picture 11">
          <a:extLst>
            <a:ext uri="{FF2B5EF4-FFF2-40B4-BE49-F238E27FC236}">
              <a16:creationId xmlns:a16="http://schemas.microsoft.com/office/drawing/2014/main" id="{00000000-0008-0000-04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3935" y="20250978"/>
          <a:ext cx="10137913" cy="4490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2765217</xdr:colOff>
      <xdr:row>2</xdr:row>
      <xdr:rowOff>88900</xdr:rowOff>
    </xdr:from>
    <xdr:to>
      <xdr:col>7</xdr:col>
      <xdr:colOff>1704069</xdr:colOff>
      <xdr:row>4</xdr:row>
      <xdr:rowOff>78316</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45134" y="448733"/>
          <a:ext cx="10365677" cy="349250"/>
        </a:xfrm>
        <a:prstGeom prst="rect">
          <a:avLst/>
        </a:prstGeom>
      </xdr:spPr>
    </xdr:pic>
    <xdr:clientData/>
  </xdr:twoCellAnchor>
  <xdr:twoCellAnchor editAs="oneCell">
    <xdr:from>
      <xdr:col>4</xdr:col>
      <xdr:colOff>233892</xdr:colOff>
      <xdr:row>6</xdr:row>
      <xdr:rowOff>119138</xdr:rowOff>
    </xdr:from>
    <xdr:to>
      <xdr:col>5</xdr:col>
      <xdr:colOff>835295</xdr:colOff>
      <xdr:row>8</xdr:row>
      <xdr:rowOff>67281</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6975475" y="1198638"/>
          <a:ext cx="1733820" cy="681568"/>
        </a:xfrm>
        <a:prstGeom prst="rect">
          <a:avLst/>
        </a:prstGeom>
      </xdr:spPr>
    </xdr:pic>
    <xdr:clientData/>
  </xdr:twoCellAnchor>
  <xdr:twoCellAnchor editAs="oneCell">
    <xdr:from>
      <xdr:col>0</xdr:col>
      <xdr:colOff>176892</xdr:colOff>
      <xdr:row>57</xdr:row>
      <xdr:rowOff>0</xdr:rowOff>
    </xdr:from>
    <xdr:to>
      <xdr:col>6</xdr:col>
      <xdr:colOff>200931</xdr:colOff>
      <xdr:row>75</xdr:row>
      <xdr:rowOff>0</xdr:rowOff>
    </xdr:to>
    <xdr:pic>
      <xdr:nvPicPr>
        <xdr:cNvPr id="4" name="Picture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892" y="11824607"/>
          <a:ext cx="9280071" cy="342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140970</xdr:colOff>
      <xdr:row>29</xdr:row>
      <xdr:rowOff>5715</xdr:rowOff>
    </xdr:from>
    <xdr:to>
      <xdr:col>22</xdr:col>
      <xdr:colOff>186690</xdr:colOff>
      <xdr:row>35</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38</xdr:row>
      <xdr:rowOff>145732</xdr:rowOff>
    </xdr:from>
    <xdr:to>
      <xdr:col>22</xdr:col>
      <xdr:colOff>466725</xdr:colOff>
      <xdr:row>54</xdr:row>
      <xdr:rowOff>952</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140970</xdr:colOff>
      <xdr:row>29</xdr:row>
      <xdr:rowOff>5715</xdr:rowOff>
    </xdr:from>
    <xdr:to>
      <xdr:col>23</xdr:col>
      <xdr:colOff>186690</xdr:colOff>
      <xdr:row>48</xdr:row>
      <xdr:rowOff>177165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455295</xdr:colOff>
      <xdr:row>50</xdr:row>
      <xdr:rowOff>167640</xdr:rowOff>
    </xdr:from>
    <xdr:to>
      <xdr:col>35</xdr:col>
      <xdr:colOff>5524500</xdr:colOff>
      <xdr:row>66</xdr:row>
      <xdr:rowOff>179070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39</xdr:col>
      <xdr:colOff>145732</xdr:colOff>
      <xdr:row>52</xdr:row>
      <xdr:rowOff>63816</xdr:rowOff>
    </xdr:from>
    <xdr:to>
      <xdr:col>48</xdr:col>
      <xdr:colOff>131445</xdr:colOff>
      <xdr:row>70</xdr:row>
      <xdr:rowOff>171449</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38</xdr:col>
      <xdr:colOff>12381</xdr:colOff>
      <xdr:row>69</xdr:row>
      <xdr:rowOff>117156</xdr:rowOff>
    </xdr:from>
    <xdr:to>
      <xdr:col>39</xdr:col>
      <xdr:colOff>447674</xdr:colOff>
      <xdr:row>85</xdr:row>
      <xdr:rowOff>123825</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2088876</xdr:colOff>
      <xdr:row>2</xdr:row>
      <xdr:rowOff>29937</xdr:rowOff>
    </xdr:from>
    <xdr:to>
      <xdr:col>5</xdr:col>
      <xdr:colOff>184067</xdr:colOff>
      <xdr:row>4</xdr:row>
      <xdr:rowOff>28878</xdr:rowOff>
    </xdr:to>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268793" y="389770"/>
          <a:ext cx="10586699" cy="355600"/>
        </a:xfrm>
        <a:prstGeom prst="rect">
          <a:avLst/>
        </a:prstGeom>
      </xdr:spPr>
    </xdr:pic>
    <xdr:clientData/>
  </xdr:twoCellAnchor>
  <xdr:twoCellAnchor editAs="oneCell">
    <xdr:from>
      <xdr:col>2</xdr:col>
      <xdr:colOff>960061</xdr:colOff>
      <xdr:row>4</xdr:row>
      <xdr:rowOff>189139</xdr:rowOff>
    </xdr:from>
    <xdr:to>
      <xdr:col>2</xdr:col>
      <xdr:colOff>2695545</xdr:colOff>
      <xdr:row>6</xdr:row>
      <xdr:rowOff>178860</xdr:rowOff>
    </xdr:to>
    <xdr:pic>
      <xdr:nvPicPr>
        <xdr:cNvPr id="11" name="Picture 10">
          <a:hlinkClick xmlns:r="http://schemas.openxmlformats.org/officeDocument/2006/relationships" r:id="rId6"/>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7"/>
        <a:stretch>
          <a:fillRect/>
        </a:stretch>
      </xdr:blipFill>
      <xdr:spPr>
        <a:xfrm>
          <a:off x="6463394" y="908806"/>
          <a:ext cx="1738659" cy="6532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655002</xdr:colOff>
      <xdr:row>83</xdr:row>
      <xdr:rowOff>36830</xdr:rowOff>
    </xdr:from>
    <xdr:to>
      <xdr:col>15</xdr:col>
      <xdr:colOff>274002</xdr:colOff>
      <xdr:row>99</xdr:row>
      <xdr:rowOff>66040</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635317</xdr:colOff>
      <xdr:row>105</xdr:row>
      <xdr:rowOff>66675</xdr:rowOff>
    </xdr:from>
    <xdr:to>
      <xdr:col>15</xdr:col>
      <xdr:colOff>254317</xdr:colOff>
      <xdr:row>120</xdr:row>
      <xdr:rowOff>84455</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628966</xdr:colOff>
      <xdr:row>125</xdr:row>
      <xdr:rowOff>112395</xdr:rowOff>
    </xdr:from>
    <xdr:to>
      <xdr:col>15</xdr:col>
      <xdr:colOff>190499</xdr:colOff>
      <xdr:row>141</xdr:row>
      <xdr:rowOff>114300</xdr:rowOff>
    </xdr:to>
    <xdr:graphicFrame macro="">
      <xdr:nvGraphicFramePr>
        <xdr:cNvPr id="5" name="Chart 4">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606742</xdr:colOff>
      <xdr:row>146</xdr:row>
      <xdr:rowOff>112395</xdr:rowOff>
    </xdr:from>
    <xdr:to>
      <xdr:col>15</xdr:col>
      <xdr:colOff>225742</xdr:colOff>
      <xdr:row>161</xdr:row>
      <xdr:rowOff>132715</xdr:rowOff>
    </xdr:to>
    <xdr:graphicFrame macro="">
      <xdr:nvGraphicFramePr>
        <xdr:cNvPr id="6" name="Chart 5">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606742</xdr:colOff>
      <xdr:row>166</xdr:row>
      <xdr:rowOff>74295</xdr:rowOff>
    </xdr:from>
    <xdr:to>
      <xdr:col>15</xdr:col>
      <xdr:colOff>225742</xdr:colOff>
      <xdr:row>181</xdr:row>
      <xdr:rowOff>107315</xdr:rowOff>
    </xdr:to>
    <xdr:graphicFrame macro="">
      <xdr:nvGraphicFramePr>
        <xdr:cNvPr id="7" name="Chart 6">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47</xdr:col>
      <xdr:colOff>35242</xdr:colOff>
      <xdr:row>30</xdr:row>
      <xdr:rowOff>47625</xdr:rowOff>
    </xdr:from>
    <xdr:to>
      <xdr:col>54</xdr:col>
      <xdr:colOff>9525</xdr:colOff>
      <xdr:row>43</xdr:row>
      <xdr:rowOff>15875</xdr:rowOff>
    </xdr:to>
    <xdr:graphicFrame macro="">
      <xdr:nvGraphicFramePr>
        <xdr:cNvPr id="10" name="Chart 9">
          <a:extLst>
            <a:ext uri="{FF2B5EF4-FFF2-40B4-BE49-F238E27FC236}">
              <a16:creationId xmlns:a16="http://schemas.microsoft.com/office/drawing/2014/main" id="{00000000-0008-0000-10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54</xdr:col>
      <xdr:colOff>66040</xdr:colOff>
      <xdr:row>30</xdr:row>
      <xdr:rowOff>74931</xdr:rowOff>
    </xdr:from>
    <xdr:to>
      <xdr:col>60</xdr:col>
      <xdr:colOff>428624</xdr:colOff>
      <xdr:row>43</xdr:row>
      <xdr:rowOff>64560</xdr:rowOff>
    </xdr:to>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7"/>
        <a:stretch>
          <a:fillRect/>
        </a:stretch>
      </xdr:blipFill>
      <xdr:spPr>
        <a:xfrm>
          <a:off x="41128315" y="5751831"/>
          <a:ext cx="4017010" cy="2421679"/>
        </a:xfrm>
        <a:prstGeom prst="rect">
          <a:avLst/>
        </a:prstGeom>
      </xdr:spPr>
    </xdr:pic>
    <xdr:clientData/>
  </xdr:twoCellAnchor>
  <xdr:twoCellAnchor>
    <xdr:from>
      <xdr:col>13</xdr:col>
      <xdr:colOff>304800</xdr:colOff>
      <xdr:row>65</xdr:row>
      <xdr:rowOff>49529</xdr:rowOff>
    </xdr:from>
    <xdr:to>
      <xdr:col>19</xdr:col>
      <xdr:colOff>47625</xdr:colOff>
      <xdr:row>75</xdr:row>
      <xdr:rowOff>171449</xdr:rowOff>
    </xdr:to>
    <xdr:graphicFrame macro="">
      <xdr:nvGraphicFramePr>
        <xdr:cNvPr id="12" name="Chart 11">
          <a:extLst>
            <a:ext uri="{FF2B5EF4-FFF2-40B4-BE49-F238E27FC236}">
              <a16:creationId xmlns:a16="http://schemas.microsoft.com/office/drawing/2014/main" id="{00000000-0008-0000-1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569912</xdr:colOff>
      <xdr:row>186</xdr:row>
      <xdr:rowOff>77787</xdr:rowOff>
    </xdr:from>
    <xdr:to>
      <xdr:col>15</xdr:col>
      <xdr:colOff>265112</xdr:colOff>
      <xdr:row>201</xdr:row>
      <xdr:rowOff>65087</xdr:rowOff>
    </xdr:to>
    <xdr:graphicFrame macro="">
      <xdr:nvGraphicFramePr>
        <xdr:cNvPr id="13" name="Chart 12">
          <a:extLst>
            <a:ext uri="{FF2B5EF4-FFF2-40B4-BE49-F238E27FC236}">
              <a16:creationId xmlns:a16="http://schemas.microsoft.com/office/drawing/2014/main" id="{00000000-0008-0000-1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57</xdr:col>
      <xdr:colOff>9977</xdr:colOff>
      <xdr:row>14</xdr:row>
      <xdr:rowOff>26761</xdr:rowOff>
    </xdr:from>
    <xdr:to>
      <xdr:col>64</xdr:col>
      <xdr:colOff>292552</xdr:colOff>
      <xdr:row>28</xdr:row>
      <xdr:rowOff>75747</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322580</xdr:colOff>
      <xdr:row>0</xdr:row>
      <xdr:rowOff>31115</xdr:rowOff>
    </xdr:from>
    <xdr:to>
      <xdr:col>14</xdr:col>
      <xdr:colOff>601980</xdr:colOff>
      <xdr:row>15</xdr:row>
      <xdr:rowOff>55245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38100</xdr:colOff>
      <xdr:row>0</xdr:row>
      <xdr:rowOff>38100</xdr:rowOff>
    </xdr:from>
    <xdr:to>
      <xdr:col>22</xdr:col>
      <xdr:colOff>342900</xdr:colOff>
      <xdr:row>15</xdr:row>
      <xdr:rowOff>55245</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389890</xdr:colOff>
      <xdr:row>0</xdr:row>
      <xdr:rowOff>28575</xdr:rowOff>
    </xdr:from>
    <xdr:to>
      <xdr:col>30</xdr:col>
      <xdr:colOff>106045</xdr:colOff>
      <xdr:row>15</xdr:row>
      <xdr:rowOff>66675</xdr:rowOff>
    </xdr:to>
    <xdr:graphicFrame macro="">
      <xdr:nvGraphicFramePr>
        <xdr:cNvPr id="5" name="Chart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19050</xdr:rowOff>
    </xdr:from>
    <xdr:to>
      <xdr:col>7</xdr:col>
      <xdr:colOff>304800</xdr:colOff>
      <xdr:row>15</xdr:row>
      <xdr:rowOff>46355</xdr:rowOff>
    </xdr:to>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15</xdr:row>
      <xdr:rowOff>92075</xdr:rowOff>
    </xdr:from>
    <xdr:to>
      <xdr:col>15</xdr:col>
      <xdr:colOff>363855</xdr:colOff>
      <xdr:row>44</xdr:row>
      <xdr:rowOff>318</xdr:rowOff>
    </xdr:to>
    <xdr:graphicFrame macro="">
      <xdr:nvGraphicFramePr>
        <xdr:cNvPr id="7" name="Chart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191770</xdr:colOff>
      <xdr:row>44</xdr:row>
      <xdr:rowOff>84772</xdr:rowOff>
    </xdr:from>
    <xdr:to>
      <xdr:col>11</xdr:col>
      <xdr:colOff>496570</xdr:colOff>
      <xdr:row>59</xdr:row>
      <xdr:rowOff>111442</xdr:rowOff>
    </xdr:to>
    <xdr:graphicFrame macro="">
      <xdr:nvGraphicFramePr>
        <xdr:cNvPr id="8" name="Chart 7">
          <a:extLst>
            <a:ext uri="{FF2B5EF4-FFF2-40B4-BE49-F238E27FC236}">
              <a16:creationId xmlns:a16="http://schemas.microsoft.com/office/drawing/2014/main" id="{00000000-0008-0000-1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159702</xdr:colOff>
      <xdr:row>60</xdr:row>
      <xdr:rowOff>178752</xdr:rowOff>
    </xdr:from>
    <xdr:to>
      <xdr:col>11</xdr:col>
      <xdr:colOff>464502</xdr:colOff>
      <xdr:row>75</xdr:row>
      <xdr:rowOff>29527</xdr:rowOff>
    </xdr:to>
    <xdr:graphicFrame macro="">
      <xdr:nvGraphicFramePr>
        <xdr:cNvPr id="10" name="Chart 9">
          <a:extLst>
            <a:ext uri="{FF2B5EF4-FFF2-40B4-BE49-F238E27FC236}">
              <a16:creationId xmlns:a16="http://schemas.microsoft.com/office/drawing/2014/main" id="{00000000-0008-0000-1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76</xdr:row>
      <xdr:rowOff>9523</xdr:rowOff>
    </xdr:from>
    <xdr:to>
      <xdr:col>9</xdr:col>
      <xdr:colOff>51594</xdr:colOff>
      <xdr:row>97</xdr:row>
      <xdr:rowOff>7936</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206375</xdr:colOff>
      <xdr:row>96</xdr:row>
      <xdr:rowOff>150812</xdr:rowOff>
    </xdr:from>
    <xdr:to>
      <xdr:col>8</xdr:col>
      <xdr:colOff>518316</xdr:colOff>
      <xdr:row>116</xdr:row>
      <xdr:rowOff>170656</xdr:rowOff>
    </xdr:to>
    <xdr:graphicFrame macro="">
      <xdr:nvGraphicFramePr>
        <xdr:cNvPr id="11" name="Chart 10">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87313</xdr:colOff>
      <xdr:row>76</xdr:row>
      <xdr:rowOff>0</xdr:rowOff>
    </xdr:from>
    <xdr:to>
      <xdr:col>21</xdr:col>
      <xdr:colOff>114300</xdr:colOff>
      <xdr:row>97</xdr:row>
      <xdr:rowOff>21696</xdr:rowOff>
    </xdr:to>
    <xdr:graphicFrame macro="">
      <xdr:nvGraphicFramePr>
        <xdr:cNvPr id="12" name="Chart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546430</xdr:colOff>
      <xdr:row>105</xdr:row>
      <xdr:rowOff>0</xdr:rowOff>
    </xdr:from>
    <xdr:to>
      <xdr:col>29</xdr:col>
      <xdr:colOff>167162</xdr:colOff>
      <xdr:row>125</xdr:row>
      <xdr:rowOff>177521</xdr:rowOff>
    </xdr:to>
    <xdr:graphicFrame macro="">
      <xdr:nvGraphicFramePr>
        <xdr:cNvPr id="13" name="Chart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0</xdr:colOff>
      <xdr:row>105</xdr:row>
      <xdr:rowOff>2952</xdr:rowOff>
    </xdr:from>
    <xdr:to>
      <xdr:col>22</xdr:col>
      <xdr:colOff>355041</xdr:colOff>
      <xdr:row>126</xdr:row>
      <xdr:rowOff>1306</xdr:rowOff>
    </xdr:to>
    <xdr:graphicFrame macro="">
      <xdr:nvGraphicFramePr>
        <xdr:cNvPr id="14" name="Chart 13">
          <a:extLst>
            <a:ext uri="{FF2B5EF4-FFF2-40B4-BE49-F238E27FC236}">
              <a16:creationId xmlns:a16="http://schemas.microsoft.com/office/drawing/2014/main" id="{00000000-0008-0000-1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398264</xdr:colOff>
      <xdr:row>97</xdr:row>
      <xdr:rowOff>105833</xdr:rowOff>
    </xdr:from>
    <xdr:to>
      <xdr:col>25</xdr:col>
      <xdr:colOff>18996</xdr:colOff>
      <xdr:row>118</xdr:row>
      <xdr:rowOff>103437</xdr:rowOff>
    </xdr:to>
    <xdr:graphicFrame macro="">
      <xdr:nvGraphicFramePr>
        <xdr:cNvPr id="15" name="Chart 14">
          <a:extLst>
            <a:ext uri="{FF2B5EF4-FFF2-40B4-BE49-F238E27FC236}">
              <a16:creationId xmlns:a16="http://schemas.microsoft.com/office/drawing/2014/main" id="{00000000-0008-0000-1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465667</xdr:colOff>
      <xdr:row>97</xdr:row>
      <xdr:rowOff>108785</xdr:rowOff>
    </xdr:from>
    <xdr:to>
      <xdr:col>18</xdr:col>
      <xdr:colOff>206874</xdr:colOff>
      <xdr:row>118</xdr:row>
      <xdr:rowOff>107139</xdr:rowOff>
    </xdr:to>
    <xdr:graphicFrame macro="">
      <xdr:nvGraphicFramePr>
        <xdr:cNvPr id="16" name="Chart 15">
          <a:extLst>
            <a:ext uri="{FF2B5EF4-FFF2-40B4-BE49-F238E27FC236}">
              <a16:creationId xmlns:a16="http://schemas.microsoft.com/office/drawing/2014/main" id="{00000000-0008-0000-1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16</xdr:col>
      <xdr:colOff>508001</xdr:colOff>
      <xdr:row>105</xdr:row>
      <xdr:rowOff>84666</xdr:rowOff>
    </xdr:from>
    <xdr:to>
      <xdr:col>18</xdr:col>
      <xdr:colOff>179964</xdr:colOff>
      <xdr:row>111</xdr:row>
      <xdr:rowOff>51</xdr:rowOff>
    </xdr:to>
    <xdr:pic>
      <xdr:nvPicPr>
        <xdr:cNvPr id="17" name="Picture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15"/>
        <a:stretch>
          <a:fillRect/>
        </a:stretch>
      </xdr:blipFill>
      <xdr:spPr>
        <a:xfrm>
          <a:off x="11853334" y="19166416"/>
          <a:ext cx="899630" cy="994885"/>
        </a:xfrm>
        <a:prstGeom prst="rect">
          <a:avLst/>
        </a:prstGeom>
      </xdr:spPr>
    </xdr:pic>
    <xdr:clientData/>
  </xdr:twoCellAnchor>
  <xdr:twoCellAnchor>
    <xdr:from>
      <xdr:col>3</xdr:col>
      <xdr:colOff>47625</xdr:colOff>
      <xdr:row>118</xdr:row>
      <xdr:rowOff>30691</xdr:rowOff>
    </xdr:from>
    <xdr:to>
      <xdr:col>14</xdr:col>
      <xdr:colOff>95250</xdr:colOff>
      <xdr:row>142</xdr:row>
      <xdr:rowOff>105833</xdr:rowOff>
    </xdr:to>
    <xdr:graphicFrame macro="">
      <xdr:nvGraphicFramePr>
        <xdr:cNvPr id="9" name="Chart 8">
          <a:extLst>
            <a:ext uri="{FF2B5EF4-FFF2-40B4-BE49-F238E27FC236}">
              <a16:creationId xmlns:a16="http://schemas.microsoft.com/office/drawing/2014/main" id="{00000000-0008-0000-1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15874</xdr:colOff>
      <xdr:row>118</xdr:row>
      <xdr:rowOff>25400</xdr:rowOff>
    </xdr:from>
    <xdr:to>
      <xdr:col>26</xdr:col>
      <xdr:colOff>285748</xdr:colOff>
      <xdr:row>142</xdr:row>
      <xdr:rowOff>84666</xdr:rowOff>
    </xdr:to>
    <xdr:graphicFrame macro="">
      <xdr:nvGraphicFramePr>
        <xdr:cNvPr id="19" name="Chart 18">
          <a:extLst>
            <a:ext uri="{FF2B5EF4-FFF2-40B4-BE49-F238E27FC236}">
              <a16:creationId xmlns:a16="http://schemas.microsoft.com/office/drawing/2014/main" id="{00000000-0008-0000-11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37042</xdr:colOff>
      <xdr:row>143</xdr:row>
      <xdr:rowOff>30690</xdr:rowOff>
    </xdr:from>
    <xdr:to>
      <xdr:col>14</xdr:col>
      <xdr:colOff>84667</xdr:colOff>
      <xdr:row>167</xdr:row>
      <xdr:rowOff>95249</xdr:rowOff>
    </xdr:to>
    <xdr:graphicFrame macro="">
      <xdr:nvGraphicFramePr>
        <xdr:cNvPr id="20" name="Chart 19">
          <a:extLst>
            <a:ext uri="{FF2B5EF4-FFF2-40B4-BE49-F238E27FC236}">
              <a16:creationId xmlns:a16="http://schemas.microsoft.com/office/drawing/2014/main" id="{00000000-0008-0000-11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396241</xdr:colOff>
      <xdr:row>0</xdr:row>
      <xdr:rowOff>64770</xdr:rowOff>
    </xdr:from>
    <xdr:to>
      <xdr:col>8</xdr:col>
      <xdr:colOff>476348</xdr:colOff>
      <xdr:row>20</xdr:row>
      <xdr:rowOff>133350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96241" y="64770"/>
          <a:ext cx="4943572" cy="3678555"/>
        </a:xfrm>
        <a:prstGeom prst="rect">
          <a:avLst/>
        </a:prstGeom>
      </xdr:spPr>
    </xdr:pic>
    <xdr:clientData/>
  </xdr:twoCellAnchor>
  <xdr:twoCellAnchor editAs="oneCell">
    <xdr:from>
      <xdr:col>8</xdr:col>
      <xdr:colOff>560070</xdr:colOff>
      <xdr:row>0</xdr:row>
      <xdr:rowOff>49530</xdr:rowOff>
    </xdr:from>
    <xdr:to>
      <xdr:col>16</xdr:col>
      <xdr:colOff>190500</xdr:colOff>
      <xdr:row>21</xdr:row>
      <xdr:rowOff>60862</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5436870" y="49530"/>
          <a:ext cx="4507230" cy="3819427"/>
        </a:xfrm>
        <a:prstGeom prst="rect">
          <a:avLst/>
        </a:prstGeom>
      </xdr:spPr>
    </xdr:pic>
    <xdr:clientData/>
  </xdr:twoCellAnchor>
  <xdr:twoCellAnchor editAs="oneCell">
    <xdr:from>
      <xdr:col>17</xdr:col>
      <xdr:colOff>26670</xdr:colOff>
      <xdr:row>1</xdr:row>
      <xdr:rowOff>1</xdr:rowOff>
    </xdr:from>
    <xdr:to>
      <xdr:col>22</xdr:col>
      <xdr:colOff>247650</xdr:colOff>
      <xdr:row>23</xdr:row>
      <xdr:rowOff>131961</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10389870" y="180976"/>
          <a:ext cx="3259455" cy="4109600"/>
        </a:xfrm>
        <a:prstGeom prst="rect">
          <a:avLst/>
        </a:prstGeom>
      </xdr:spPr>
    </xdr:pic>
    <xdr:clientData/>
  </xdr:twoCellAnchor>
  <xdr:twoCellAnchor editAs="oneCell">
    <xdr:from>
      <xdr:col>1</xdr:col>
      <xdr:colOff>0</xdr:colOff>
      <xdr:row>41</xdr:row>
      <xdr:rowOff>0</xdr:rowOff>
    </xdr:from>
    <xdr:to>
      <xdr:col>14</xdr:col>
      <xdr:colOff>341867</xdr:colOff>
      <xdr:row>82</xdr:row>
      <xdr:rowOff>113358</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a:stretch>
          <a:fillRect/>
        </a:stretch>
      </xdr:blipFill>
      <xdr:spPr>
        <a:xfrm>
          <a:off x="609600" y="7419975"/>
          <a:ext cx="8266667" cy="7533333"/>
        </a:xfrm>
        <a:prstGeom prst="rect">
          <a:avLst/>
        </a:prstGeom>
      </xdr:spPr>
    </xdr:pic>
    <xdr:clientData/>
  </xdr:twoCellAnchor>
  <xdr:twoCellAnchor editAs="oneCell">
    <xdr:from>
      <xdr:col>15</xdr:col>
      <xdr:colOff>0</xdr:colOff>
      <xdr:row>41</xdr:row>
      <xdr:rowOff>0</xdr:rowOff>
    </xdr:from>
    <xdr:to>
      <xdr:col>23</xdr:col>
      <xdr:colOff>266057</xdr:colOff>
      <xdr:row>83</xdr:row>
      <xdr:rowOff>37145</xdr:rowOff>
    </xdr:to>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a:stretch>
          <a:fillRect/>
        </a:stretch>
      </xdr:blipFill>
      <xdr:spPr>
        <a:xfrm>
          <a:off x="9144000" y="7419975"/>
          <a:ext cx="5142857" cy="7638095"/>
        </a:xfrm>
        <a:prstGeom prst="rect">
          <a:avLst/>
        </a:prstGeom>
      </xdr:spPr>
    </xdr:pic>
    <xdr:clientData/>
  </xdr:twoCellAnchor>
  <xdr:twoCellAnchor>
    <xdr:from>
      <xdr:col>21</xdr:col>
      <xdr:colOff>571500</xdr:colOff>
      <xdr:row>5</xdr:row>
      <xdr:rowOff>68580</xdr:rowOff>
    </xdr:from>
    <xdr:to>
      <xdr:col>29</xdr:col>
      <xdr:colOff>266700</xdr:colOff>
      <xdr:row>20</xdr:row>
      <xdr:rowOff>104775</xdr:rowOff>
    </xdr:to>
    <xdr:graphicFrame macro="">
      <xdr:nvGraphicFramePr>
        <xdr:cNvPr id="7" name="Chart 6">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rel-my.sharepoint.com/C:/C:/Users/jelswort/AppData/Roaming/Microsoft/Excel/USVI%20EE%20Tool%202016%20v1_James%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rel-my.sharepoint.com/C:/Users/jelswort/AppData/Roaming/Microsoft/Excel/USVI%20EE%20Tool%202016%20v1_James%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rel-my.sharepoint.com/Users/jelswort/AppData/Roaming/Microsoft/Excel/USVI%20EE%20Tool%202016%20v1_James%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rel.sharepoint.com/Puerto%20Rico/PREESAT_Residential_0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rel-my.sharepoint.com/C:/C:/Users/jelswort/AppData/Local/Microsoft/Windows/INetCache/Content.Outlook/BJ4UJT54/USVI%20EE%20Tool%202016%20v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nrel-my.sharepoint.com/C:/Users/jelswort/AppData/Local/Microsoft/Windows/INetCache/Content.Outlook/BJ4UJT54/USVI%20EE%20Tool%202016%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nrel-my.sharepoint.com/Users/jelswort/AppData/Local/Microsoft/Windows/INetCache/Content.Outlook/BJ4UJT54/USVI%20EE%20Tool%202016%20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rel-my.sharepoint.com/Users/mshah/Documents/_Solar%20BoS%20Support/_Puerto%20Rico%20Support/Energy%20Efficiency/PREESAT_Residential_2020-03-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First"/>
      <sheetName val="Dashboard"/>
      <sheetName val="Assumptions"/>
      <sheetName val="Baseline"/>
      <sheetName val="Efficient"/>
      <sheetName val="Lighting"/>
      <sheetName val="Building Envelope"/>
      <sheetName val="EB Calculations"/>
      <sheetName val="Costs"/>
      <sheetName val="Housing Calcs"/>
      <sheetName val="BEOpt"/>
      <sheetName val="RASS Tables"/>
      <sheetName val="Sheet1"/>
    </sheetNames>
    <sheetDataSet>
      <sheetData sheetId="0" refreshError="1"/>
      <sheetData sheetId="1" refreshError="1"/>
      <sheetData sheetId="2">
        <row r="16">
          <cell r="C16" t="str">
            <v>Achievable Potential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First"/>
      <sheetName val="Dashboard"/>
      <sheetName val="Assumptions"/>
      <sheetName val="Baseline"/>
      <sheetName val="Efficient"/>
      <sheetName val="Lighting"/>
      <sheetName val="Building Envelope"/>
      <sheetName val="EB Calculations"/>
      <sheetName val="Costs"/>
      <sheetName val="Housing Calcs"/>
      <sheetName val="BEOpt"/>
      <sheetName val="RASS Tables"/>
      <sheetName val="Sheet1"/>
    </sheetNames>
    <sheetDataSet>
      <sheetData sheetId="0" refreshError="1"/>
      <sheetData sheetId="1" refreshError="1"/>
      <sheetData sheetId="2">
        <row r="16">
          <cell r="C16" t="str">
            <v>Achievable Potential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First"/>
      <sheetName val="Dashboard"/>
      <sheetName val="Assumptions"/>
      <sheetName val="Baseline"/>
      <sheetName val="Efficient"/>
      <sheetName val="Lighting"/>
      <sheetName val="Building Envelope"/>
      <sheetName val="EB Calculations"/>
      <sheetName val="Costs"/>
      <sheetName val="Housing Calcs"/>
      <sheetName val="BEOpt"/>
      <sheetName val="RASS Tables"/>
      <sheetName val="Sheet1"/>
    </sheetNames>
    <sheetDataSet>
      <sheetData sheetId="0" refreshError="1"/>
      <sheetData sheetId="1" refreshError="1"/>
      <sheetData sheetId="2">
        <row r="16">
          <cell r="C16" t="str">
            <v>Achievable Potential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Load Forecasts"/>
      <sheetName val="ResidentialOLD"/>
      <sheetName val="Legend"/>
      <sheetName val="Residential"/>
      <sheetName val="Residential MultiFam"/>
      <sheetName val="Commercial"/>
      <sheetName val="Industrial"/>
      <sheetName val="IAC Industrial Averages"/>
      <sheetName val="Street Lighting"/>
      <sheetName val="Public Sector"/>
      <sheetName val="Building Codes"/>
      <sheetName val="Building AC Measures"/>
      <sheetName val="Other Programs"/>
      <sheetName val="DPV"/>
      <sheetName val="EV"/>
      <sheetName val="DR"/>
      <sheetName val="Siemens IRP Data"/>
    </sheetNames>
    <sheetDataSet>
      <sheetData sheetId="0" refreshError="1"/>
      <sheetData sheetId="1">
        <row r="3">
          <cell r="B3">
            <v>6548.8704746003232</v>
          </cell>
        </row>
      </sheetData>
      <sheetData sheetId="2" refreshError="1"/>
      <sheetData sheetId="3" refreshError="1"/>
      <sheetData sheetId="4">
        <row r="44">
          <cell r="D44">
            <v>1</v>
          </cell>
        </row>
      </sheetData>
      <sheetData sheetId="5">
        <row r="3">
          <cell r="G3">
            <v>2.25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First"/>
      <sheetName val="Dashboard"/>
      <sheetName val="Assumptions"/>
      <sheetName val="Baseline"/>
      <sheetName val="Efficient"/>
      <sheetName val="Lighting"/>
      <sheetName val="Building Envelope"/>
      <sheetName val="EB Calculations"/>
      <sheetName val="Costs"/>
      <sheetName val="Housing Calcs"/>
      <sheetName val="BEOpt"/>
      <sheetName val="RASS Tables"/>
      <sheetName val="Sheet1"/>
    </sheetNames>
    <sheetDataSet>
      <sheetData sheetId="0"/>
      <sheetData sheetId="1"/>
      <sheetData sheetId="2">
        <row r="29">
          <cell r="C29">
            <v>2.2523560320803284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First"/>
      <sheetName val="Dashboard"/>
      <sheetName val="Assumptions"/>
      <sheetName val="Baseline"/>
      <sheetName val="Efficient"/>
      <sheetName val="Lighting"/>
      <sheetName val="Building Envelope"/>
      <sheetName val="EB Calculations"/>
      <sheetName val="Costs"/>
      <sheetName val="Housing Calcs"/>
      <sheetName val="BEOpt"/>
      <sheetName val="RASS Tables"/>
      <sheetName val="Sheet1"/>
    </sheetNames>
    <sheetDataSet>
      <sheetData sheetId="0"/>
      <sheetData sheetId="1"/>
      <sheetData sheetId="2">
        <row r="29">
          <cell r="C29">
            <v>2.2523560320803284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First"/>
      <sheetName val="Dashboard"/>
      <sheetName val="Assumptions"/>
      <sheetName val="Baseline"/>
      <sheetName val="Efficient"/>
      <sheetName val="Lighting"/>
      <sheetName val="Building Envelope"/>
      <sheetName val="EB Calculations"/>
      <sheetName val="Costs"/>
      <sheetName val="Housing Calcs"/>
      <sheetName val="BEOpt"/>
      <sheetName val="RASS Tables"/>
      <sheetName val="Sheet1"/>
    </sheetNames>
    <sheetDataSet>
      <sheetData sheetId="0"/>
      <sheetData sheetId="1"/>
      <sheetData sheetId="2">
        <row r="29">
          <cell r="C29">
            <v>2.2523560320803284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dential MultiFam"/>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Shah, Monisha" id="{111FF8D5-A045-473E-B8F2-981B948F57FB}" userId="S::mshah@nrel.gov::daf11a8d-1bbc-48be-99a5-657ca99559b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F76BEC28-6C5B-4195-B0D4-8AC1460464CC}" name="Table125" displayName="Table125" ref="A35:E42" totalsRowShown="0">
  <autoFilter ref="A35:E42" xr:uid="{F39C6776-D89F-46B9-8CAB-A8A38AC572FE}"/>
  <tableColumns count="5">
    <tableColumn id="1" xr3:uid="{CE1D5D03-0322-4955-9159-C09571A33F30}" name="AC"/>
    <tableColumn id="2" xr3:uid="{A0B42CB1-BDCE-4751-80B5-BE4C55E0176D}" name="High"/>
    <tableColumn id="3" xr3:uid="{FDF787E9-1B6C-4211-AF23-4CAD22724DB8}" name="Med"/>
    <tableColumn id="4" xr3:uid="{FE174D6A-C8A6-425D-9F6A-00365E3AD496}" name="Low"/>
    <tableColumn id="5" xr3:uid="{74AAC00E-94AC-4C45-AAED-80D1EAB8EFCF}" name="Sourc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2A70930-A92F-44C2-956A-F8AD30C113DA}" name="Table12" displayName="Table12" ref="B11:K51" totalsRowShown="0" headerRowDxfId="27" tableBorderDxfId="26">
  <autoFilter ref="B11:K51" xr:uid="{9BA1046D-17BB-49CF-9B98-12CFAFACBECB}"/>
  <tableColumns count="10">
    <tableColumn id="1" xr3:uid="{F8EEAC37-CB5D-47DE-AA0C-AA0AFFEEF304}" name="Measures by End-Use" dataDxfId="25"/>
    <tableColumn id="10" xr3:uid="{44E52C8B-74AE-4C93-8DB7-BD9350ECB501}" name="% of Total Commercial Consumption by End-Use" dataDxfId="24" dataCellStyle="Percent"/>
    <tableColumn id="2" xr3:uid="{61FE794B-B396-4CE7-AE50-7E625A5DBCA4}" name="% Electricity Savings Compared to Baseline" dataDxfId="23" dataCellStyle="Percent"/>
    <tableColumn id="3" xr3:uid="{3D4A5457-40CD-45C2-BBB4-9F2152DE667D}" name="End-Use Measures Portfolio (% by Measure)" dataDxfId="22" dataCellStyle="Input 2"/>
    <tableColumn id="4" xr3:uid="{1892687B-65D1-499F-8BAE-9DBA668C90AF}" name="% of Commercial Customers Adopting End-Use Efficiency Measures by 2040*" dataDxfId="21" dataCellStyle="Percent"/>
    <tableColumn id="5" xr3:uid="{24B985DF-DBB9-4E9F-9A9B-67AABB269FA1}" name="End-Use Electricity Consumption Reduction in 2040 Compared to Baseline (kWh)" dataDxfId="20" dataCellStyle="Percent"/>
    <tableColumn id="12" xr3:uid="{2E14F4E9-44FD-4D3C-B20F-3C851857A098}" name="% Reduction in End-Use Electricity Consumption in 2040 Compared to Baseline" dataDxfId="19" dataCellStyle="Percent">
      <calculatedColumnFormula>IFERROR(G12/($I$9*$C$12), "-")</calculatedColumnFormula>
    </tableColumn>
    <tableColumn id="6" xr3:uid="{08FBFC38-27C2-4F62-82ED-EC82EA310723}" name="% Reduction in Commercial Electricity Consumption in 2040 Compared to Baseline" dataDxfId="18"/>
    <tableColumn id="7" xr3:uid="{D8F84133-AC1C-42A4-9584-D1B45E797DA1}" name="Reduction as % of Total Commercial Load"/>
    <tableColumn id="8" xr3:uid="{321158EA-CEAF-40D3-9F3D-73F49585690C}" name="End Use % of Total Sector Use2" dataDxfId="17" dataCellStyle="Percent"/>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36928B4-0B86-485A-8A0B-C91D1D43D4C4}" name="Table189" displayName="Table189" ref="B9:E35" totalsRowShown="0">
  <sortState xmlns:xlrd2="http://schemas.microsoft.com/office/spreadsheetml/2017/richdata2" ref="B10:D35">
    <sortCondition descending="1" ref="C9:C35"/>
  </sortState>
  <tableColumns count="4">
    <tableColumn id="1" xr3:uid="{E7AE85AC-8C73-9645-899D-901854596E7A}" name="Scout Commercial EE MEASURE">
      <calculatedColumnFormula>'CZ5 Com Savings'!D2</calculatedColumnFormula>
    </tableColumn>
    <tableColumn id="2" xr3:uid="{D3543826-77A2-EB4F-BC04-691E1BEA750A}" name="PERCENT SAVINGS" dataDxfId="16" dataCellStyle="Percent">
      <calculatedColumnFormula>'CZ5 Com Savings'!F2</calculatedColumnFormula>
    </tableColumn>
    <tableColumn id="4" xr3:uid="{075C2B85-F1B7-D94B-B010-BF53C81D8E83}" name="ADOPTION %*">
      <calculatedColumnFormula>$C$6</calculatedColumnFormula>
    </tableColumn>
    <tableColumn id="5" xr3:uid="{82A3DAFE-65A3-6A4D-B4EC-CFF7E22DA1F9}" name="Realized Savings" dataDxfId="15">
      <calculatedColumnFormula>Table189[[#This Row],[PERCENT SAVINGS]]*Table189[[#This Row],[ADOPTION %*]]</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9756D37-D682-469B-9C3F-33DE67492E75}" name="Table18" displayName="Table18" ref="B9:F55" totalsRowShown="0" headerRowDxfId="14" tableBorderDxfId="13">
  <sortState xmlns:xlrd2="http://schemas.microsoft.com/office/spreadsheetml/2017/richdata2" ref="B10:F55">
    <sortCondition ref="F10:F55"/>
  </sortState>
  <tableColumns count="5">
    <tableColumn id="1" xr3:uid="{E906F370-F37B-49BF-B888-2833253F7D94}" name="IAC Industrial EE Measure">
      <calculatedColumnFormula>RIGHT('IAC Industrial Averages'!A51,LEN('IAC Industrial Averages'!A51)-7)</calculatedColumnFormula>
    </tableColumn>
    <tableColumn id="2" xr3:uid="{28F5D3B8-190F-45DE-A29E-B3C14E627D16}" name="% Electricity Savings Compared to Baseline" dataDxfId="12" dataCellStyle="Percent">
      <calculatedColumnFormula>'IAC Industrial Averages'!D4</calculatedColumnFormula>
    </tableColumn>
    <tableColumn id="4" xr3:uid="{CC7C4323-CA90-4C15-B2D0-729723F7C68F}" name="% of Industrial Customers Adopting End-Use Efficiency Measures by 2040*" dataDxfId="11" dataCellStyle="Input">
      <calculatedColumnFormula>$D$7</calculatedColumnFormula>
    </tableColumn>
    <tableColumn id="6" xr3:uid="{A851AF6E-1887-4799-8FB8-8BDED2F16066}" name="% of Industrial Customers for Whom Measure is Viable**" dataDxfId="10">
      <calculatedColumnFormula>'IAC Industrial Averages'!C51</calculatedColumnFormula>
    </tableColumn>
    <tableColumn id="5" xr3:uid="{7819A096-699C-4A39-B4F5-F7CF6F9852CA}" name="% Reduction in Industrial Electricity Consumption in 2040 Compared to Baseline" dataDxfId="9">
      <calculatedColumnFormula>Table18[[#This Row],[% of Industrial Customers Adopting End-Use Efficiency Measures by 2040*]]*Table18[[#This Row],[% Electricity Savings Compared to Baseline]]*Table18[[#This Row],[% of Industrial Customers for Whom Measure is Viable**]]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75333368-5DF1-4BF3-B441-E0DCE0A96594}" name="Table326" displayName="Table326" ref="A5:F18" totalsRowShown="0">
  <autoFilter ref="A5:F18" xr:uid="{D77B212A-AEAF-4E16-BBCF-6C5A799A6CD9}"/>
  <tableColumns count="6">
    <tableColumn id="1" xr3:uid="{17EF70FE-C0D4-4338-9293-29F29633DBB2}" name="Measure"/>
    <tableColumn id="6" xr3:uid="{65BE9A63-2395-4E46-803F-71CA0AB205BA}" name="ON OR OFF" dataDxfId="52"/>
    <tableColumn id="2" xr3:uid="{4237AAED-CC01-4AD7-9E45-0553820C6A52}" name="High reduction" dataDxfId="51" dataCellStyle="Percent"/>
    <tableColumn id="3" xr3:uid="{B1F57AE8-DA54-42E7-8F5F-90BDD5CB583B}" name="Med reduction" dataDxfId="50" dataCellStyle="Percent"/>
    <tableColumn id="4" xr3:uid="{CEC4955A-9B4F-4D1D-B516-57761860AE58}" name="Low reduction" dataDxfId="49" dataCellStyle="Percent"/>
    <tableColumn id="5" xr3:uid="{00EAD06A-74E9-4B55-90FB-4169666CE8AD}" name="Total % of current residential load" dataDxfId="48" dataCellStyle="Inpu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7505CE2-9D0E-42AF-902B-980C249E4645}" name="Table427" displayName="Table427" ref="G35:I40" totalsRowShown="0">
  <autoFilter ref="G35:I40" xr:uid="{D1296D9B-E89B-4AA9-B367-BB123FF5DD00}"/>
  <tableColumns count="3">
    <tableColumn id="1" xr3:uid="{63F917A9-8A78-45B6-890C-7ABCEBC7B562}" name="Lighting"/>
    <tableColumn id="2" xr3:uid="{6B285B17-41ED-4944-86C1-C12E5612DC5C}" name="Column1"/>
    <tableColumn id="3" xr3:uid="{2C53ADFC-BFF0-4820-AC58-6BC86DAEA4B2}" name="Sourc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CBEA320-9A7F-45D3-AC1A-27799B1F6D8B}" name="Table528" displayName="Table528" ref="K35:M41" totalsRowShown="0">
  <autoFilter ref="K35:M41" xr:uid="{282AA9EF-327D-43BC-9F70-64D202FB0C28}"/>
  <tableColumns count="3">
    <tableColumn id="1" xr3:uid="{37D64439-D427-4E55-B918-90477D595A33}" name="Refrigeration"/>
    <tableColumn id="2" xr3:uid="{9497F611-D35F-45AD-BC0C-6206688BD146}" name="Column1"/>
    <tableColumn id="3" xr3:uid="{4965CF4C-7D35-4E27-9926-B74241023527}"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4EA6B6F8-8C7D-43C9-BBF9-D5FB80AB9535}" name="Table5729" displayName="Table5729" ref="O35:Q41" totalsRowShown="0">
  <autoFilter ref="O35:Q41" xr:uid="{2B7050B5-CE75-4A97-BACD-D1CE510768D4}"/>
  <tableColumns count="3">
    <tableColumn id="1" xr3:uid="{F001447C-D288-4EC8-A539-A8CABCF9184D}" name="Water Heating"/>
    <tableColumn id="2" xr3:uid="{E2288B28-C736-40D6-99F8-FFFE1F25A1E0}" name="Column1"/>
    <tableColumn id="3" xr3:uid="{71B181F3-D7CA-4B71-8258-70D3ED895741}" name="Column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031C404-D0A8-4050-9FB2-72A84E2E0940}" name="Table57830" displayName="Table57830" ref="S35:U41" totalsRowShown="0">
  <autoFilter ref="S35:U41" xr:uid="{26044680-0F14-404C-A264-1610510CEA78}"/>
  <tableColumns count="3">
    <tableColumn id="1" xr3:uid="{D5A197B5-0D5D-4192-B1FE-EB83342F5ECE}" name="Education/ Outreach"/>
    <tableColumn id="2" xr3:uid="{71293CAF-56C7-4504-AEE6-D8E404F3CC3E}" name="Column1"/>
    <tableColumn id="3" xr3:uid="{B2D608D4-5705-46BD-8497-A9FC3AB5731F}" name="Column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1C196069-6FB4-49B1-A667-B8E9CA4FDFFD}" name="Table231" displayName="Table231" ref="A21:E26" totalsRowShown="0" headerRowDxfId="47">
  <autoFilter ref="A21:E26" xr:uid="{F14B5867-7D59-448A-A14A-E3BC4C17663C}"/>
  <tableColumns count="5">
    <tableColumn id="1" xr3:uid="{C9378C76-C5F5-45C0-99CC-3D1B25087BFE}" name="Programs"/>
    <tableColumn id="2" xr3:uid="{162969E3-8885-4A08-AD50-C0C50EDD1955}" name="High reduction" dataDxfId="46" dataCellStyle="Percent"/>
    <tableColumn id="3" xr3:uid="{AB28A266-1E80-4990-89A1-EE800BE9D65D}" name="Med"/>
    <tableColumn id="4" xr3:uid="{0553E537-5582-4B95-B305-E6074B08D0F8}" name="Low"/>
    <tableColumn id="5" xr3:uid="{0FE6E0B6-2D31-4E5B-8DEF-48B67F8F3D0C}" name="Column1"/>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551C470-4328-4C28-97C2-F22D97157F24}" name="Table10" displayName="Table10" ref="B11:I75" totalsRowShown="0" headerRowDxfId="45" tableBorderDxfId="44">
  <autoFilter ref="B11:I75" xr:uid="{D73AEDBD-8679-4E87-9649-BFEF2830E5DC}"/>
  <tableColumns count="8">
    <tableColumn id="1" xr3:uid="{DA5F439B-0E45-430D-8D03-EFA34C88A5A1}" name="Measures by End-Use" dataDxfId="43"/>
    <tableColumn id="2" xr3:uid="{BF9384A2-8E48-4E49-A6F2-5DC4327400D4}" name="% of Total Residential Consumption by End-Use"/>
    <tableColumn id="3" xr3:uid="{3E8386DF-E1B7-46B7-970B-9FBEFBF48AF5}" name="Annual Electricity Savings Per Residential Customer (kWh)"/>
    <tableColumn id="4" xr3:uid="{06609219-C408-4678-80F5-75893B20E3D5}" name="End-Use Measures Portfolio (% by Measure)"/>
    <tableColumn id="5" xr3:uid="{6D61EB44-2B3E-4D41-A0E7-54BB3B72BDE5}" name="% of Residential Customers Adopting End-Use Efficiency Measures by 2040*" dataDxfId="42" dataCellStyle="Percent"/>
    <tableColumn id="6" xr3:uid="{9BD5242C-655B-43D7-A189-74978337500D}" name="End-Use Electricity Consumption Reduction in 2040 Compared to Baseline (kWh)"/>
    <tableColumn id="7" xr3:uid="{AF4DE4B7-BD66-4149-8A12-0D0C1DCDB368}" name="% Reduction in End-Use Electricity Consumption in 2040 Compared to Baseline"/>
    <tableColumn id="8" xr3:uid="{E79431A3-FB24-4E52-97D5-1862A6E7492B}" name="% Reduction in Residential Electricity Consumption in 2040 Compared to Baseline"/>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CF64CA8-E80C-4A73-A6F9-105C734D45FD}" name="Table11" displayName="Table11" ref="L11:V74" totalsRowShown="0" headerRowDxfId="41" dataDxfId="40" tableBorderDxfId="39" dataCellStyle="Comma">
  <autoFilter ref="L11:V74" xr:uid="{035426B2-BB7F-4556-BF07-CA3C85053BB1}"/>
  <tableColumns count="11">
    <tableColumn id="1" xr3:uid="{959C34A3-E6E7-432A-8A8B-689B3D9173B3}" name="Measure" dataDxfId="38">
      <calculatedColumnFormula>B12</calculatedColumnFormula>
    </tableColumn>
    <tableColumn id="2" xr3:uid="{59D0BB06-074D-4181-9E95-087E1378C379}" name="Default Assumption" dataDxfId="37" dataCellStyle="Comma"/>
    <tableColumn id="3" xr3:uid="{94557391-A190-4E3B-AC68-9B6A9A17CB89}" name="USVIEET" dataDxfId="36" dataCellStyle="Comma"/>
    <tableColumn id="4" xr3:uid="{BF5ECEEA-A9BC-45A9-BCD0-F5D9E305BA7A}" name="IRP" dataDxfId="35" dataCellStyle="Comma"/>
    <tableColumn id="5" xr3:uid="{17680BDE-D48A-4409-828E-CBA205B338A5}" name="PREAT" dataDxfId="34" dataCellStyle="Comma"/>
    <tableColumn id="6" xr3:uid="{65468E22-68D4-48CC-9585-72C3070989DC}" name="RESSTOCK (FL)" dataDxfId="33" dataCellStyle="Comma"/>
    <tableColumn id="7" xr3:uid="{F411B0C7-7C67-4B1E-8DDB-45504978AD2D}" name="PRBA/PREC U of T" dataDxfId="32" dataCellStyle="Comma"/>
    <tableColumn id="8" xr3:uid="{E4FEAF03-9106-49DA-946C-149A5FB028E9}" name="PNNL" dataDxfId="31" dataCellStyle="Comma"/>
    <tableColumn id="9" xr3:uid="{3E66705F-6215-4520-9A5C-D79CD8AF8319}" name="Green Building Code " dataDxfId="30" dataCellStyle="Comma"/>
    <tableColumn id="10" xr3:uid="{9CC2220C-D2CB-484B-8018-AF007CF22D32}" name="Asa Hopkins Stakeholder Workshop" dataDxfId="29" dataCellStyle="Comma"/>
    <tableColumn id="11" xr3:uid="{F2EB3D53-90FB-4AA6-A207-44958BE85F36}" name="Baseline Total % of current residential load" dataDxfId="28" dataCellStyle="Percent"/>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1" dT="2020-03-12T21:29:53.86" personId="{111FF8D5-A045-473E-B8F2-981B948F57FB}" id="{8305E22D-7B21-4765-B4C3-EE10D53F214D}">
    <text>Advanced Vapor- Compression Systems
A/C technologies that significantly lower refrigerant GWP and energy consumption for vapor-compression A/C systems while maintaining cost-competitiveness with today’s high-volume equipment.
• Low-GWP refrigerants (e.g., natural refrigerants and synthetic olefins)
• Climate-specific designs
Emerging Non- Vapor- Compression (NVC) Systems
A/C systems that do not rely on refrigerant- based vapor-compression systems and can provide energy savings with high-volume cost similar to today’s state-of-the-art.
• Solid-State (thermoelectric, magnetocaloric)
• Electro-mechanical (evaporative, thermoelastic)
• Thermally driven (absorption)
Integration of A/C and Other Building Systems
A/C technologies that share excess heat and other resources with other systems to provide energy savings for the entire building.
• Capturing waste energy from space cooling for water heating and dehumidification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table" Target="../tables/table9.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table" Target="../tables/table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25@%25" TargetMode="External"/><Relationship Id="rId4" Type="http://schemas.openxmlformats.org/officeDocument/2006/relationships/table" Target="../tables/table10.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59E6-FF4B-4E26-868B-A400040CD458}">
  <dimension ref="B1:I20"/>
  <sheetViews>
    <sheetView showGridLines="0" tabSelected="1" workbookViewId="0">
      <selection activeCell="D6" sqref="D6"/>
    </sheetView>
  </sheetViews>
  <sheetFormatPr defaultRowHeight="14.4" x14ac:dyDescent="0.3"/>
  <cols>
    <col min="1" max="1" width="15" customWidth="1"/>
    <col min="2" max="2" width="157.6640625" style="27" customWidth="1"/>
  </cols>
  <sheetData>
    <row r="1" spans="2:9" ht="26.25" customHeight="1" x14ac:dyDescent="0.3">
      <c r="B1" s="411" t="s">
        <v>1037</v>
      </c>
    </row>
    <row r="2" spans="2:9" x14ac:dyDescent="0.3">
      <c r="B2" s="412"/>
    </row>
    <row r="3" spans="2:9" ht="21.75" customHeight="1" x14ac:dyDescent="0.3">
      <c r="B3" s="413" t="s">
        <v>1076</v>
      </c>
    </row>
    <row r="4" spans="2:9" x14ac:dyDescent="0.3">
      <c r="B4" s="412"/>
    </row>
    <row r="5" spans="2:9" ht="124.8" x14ac:dyDescent="0.3">
      <c r="B5" s="413" t="s">
        <v>1077</v>
      </c>
    </row>
    <row r="6" spans="2:9" ht="6" customHeight="1" x14ac:dyDescent="0.3">
      <c r="B6" s="412"/>
    </row>
    <row r="7" spans="2:9" ht="124.8" x14ac:dyDescent="0.3">
      <c r="B7" s="413" t="s">
        <v>1078</v>
      </c>
      <c r="I7" s="414"/>
    </row>
    <row r="9" spans="2:9" x14ac:dyDescent="0.3">
      <c r="B9" s="27" t="s">
        <v>1040</v>
      </c>
    </row>
    <row r="11" spans="2:9" x14ac:dyDescent="0.3">
      <c r="B11" s="27" t="s">
        <v>1041</v>
      </c>
    </row>
    <row r="12" spans="2:9" x14ac:dyDescent="0.3">
      <c r="B12" s="27" t="s">
        <v>1042</v>
      </c>
    </row>
    <row r="14" spans="2:9" x14ac:dyDescent="0.3">
      <c r="B14" s="27" t="s">
        <v>1038</v>
      </c>
    </row>
    <row r="15" spans="2:9" x14ac:dyDescent="0.3">
      <c r="B15" s="27" t="s">
        <v>1079</v>
      </c>
    </row>
    <row r="16" spans="2:9" x14ac:dyDescent="0.3">
      <c r="B16" s="27" t="s">
        <v>1080</v>
      </c>
    </row>
    <row r="17" spans="2:2" x14ac:dyDescent="0.3">
      <c r="B17" s="27" t="s">
        <v>1081</v>
      </c>
    </row>
    <row r="18" spans="2:2" x14ac:dyDescent="0.3">
      <c r="B18" s="27" t="s">
        <v>1082</v>
      </c>
    </row>
    <row r="19" spans="2:2" x14ac:dyDescent="0.3">
      <c r="B19" s="27" t="s">
        <v>1083</v>
      </c>
    </row>
    <row r="20" spans="2:2" x14ac:dyDescent="0.3">
      <c r="B20" s="27" t="s">
        <v>1039</v>
      </c>
    </row>
  </sheetData>
  <pageMargins left="0.7" right="0.7" top="0.75" bottom="0.75" header="0.3" footer="0.3"/>
  <pageSetup orientation="portrait" horizontalDpi="4294967292"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61A3C-E106-45D8-ABF4-4568C0B77E7B}">
  <sheetPr codeName="Sheet11" filterMode="1"/>
  <dimension ref="A1:AS593"/>
  <sheetViews>
    <sheetView workbookViewId="0">
      <pane xSplit="5" ySplit="1" topLeftCell="F2" activePane="bottomRight" state="frozen"/>
      <selection pane="topRight" activeCell="F1" sqref="F1"/>
      <selection pane="bottomLeft" activeCell="A2" sqref="A2"/>
      <selection pane="bottomRight"/>
    </sheetView>
  </sheetViews>
  <sheetFormatPr defaultColWidth="8.6640625" defaultRowHeight="14.4" x14ac:dyDescent="0.3"/>
  <cols>
    <col min="1" max="1" width="35.6640625" bestFit="1" customWidth="1"/>
    <col min="2" max="2" width="28.6640625" customWidth="1"/>
    <col min="4" max="4" width="32.6640625" bestFit="1" customWidth="1"/>
    <col min="5" max="5" width="43.33203125" bestFit="1" customWidth="1"/>
  </cols>
  <sheetData>
    <row r="1" spans="1:45" x14ac:dyDescent="0.3">
      <c r="A1" t="s">
        <v>893</v>
      </c>
      <c r="B1" t="s">
        <v>892</v>
      </c>
      <c r="C1" t="s">
        <v>891</v>
      </c>
      <c r="D1" t="s">
        <v>890</v>
      </c>
      <c r="E1" t="s">
        <v>889</v>
      </c>
      <c r="F1" t="s">
        <v>888</v>
      </c>
      <c r="G1" t="s">
        <v>887</v>
      </c>
      <c r="H1" t="s">
        <v>886</v>
      </c>
      <c r="I1" t="s">
        <v>885</v>
      </c>
      <c r="J1" t="s">
        <v>884</v>
      </c>
      <c r="K1" t="s">
        <v>883</v>
      </c>
      <c r="L1" t="s">
        <v>882</v>
      </c>
      <c r="M1" t="s">
        <v>881</v>
      </c>
      <c r="N1" t="s">
        <v>880</v>
      </c>
      <c r="O1" t="s">
        <v>879</v>
      </c>
      <c r="P1" t="s">
        <v>878</v>
      </c>
      <c r="Q1" t="s">
        <v>877</v>
      </c>
      <c r="R1" t="s">
        <v>876</v>
      </c>
      <c r="S1" t="s">
        <v>875</v>
      </c>
      <c r="T1" t="s">
        <v>874</v>
      </c>
      <c r="U1" t="s">
        <v>873</v>
      </c>
      <c r="V1" t="s">
        <v>872</v>
      </c>
      <c r="W1" t="s">
        <v>871</v>
      </c>
      <c r="X1" t="s">
        <v>870</v>
      </c>
      <c r="Y1" t="s">
        <v>869</v>
      </c>
      <c r="Z1" t="s">
        <v>868</v>
      </c>
      <c r="AA1" t="s">
        <v>867</v>
      </c>
      <c r="AB1" t="s">
        <v>866</v>
      </c>
      <c r="AC1" t="s">
        <v>865</v>
      </c>
      <c r="AD1" t="s">
        <v>864</v>
      </c>
      <c r="AE1" t="s">
        <v>863</v>
      </c>
      <c r="AF1" t="s">
        <v>862</v>
      </c>
      <c r="AG1" t="s">
        <v>861</v>
      </c>
      <c r="AH1" t="s">
        <v>860</v>
      </c>
      <c r="AI1" t="s">
        <v>859</v>
      </c>
      <c r="AJ1" t="s">
        <v>858</v>
      </c>
      <c r="AK1" t="s">
        <v>857</v>
      </c>
      <c r="AL1" t="s">
        <v>856</v>
      </c>
      <c r="AM1" t="s">
        <v>855</v>
      </c>
      <c r="AN1" t="s">
        <v>854</v>
      </c>
      <c r="AO1" t="s">
        <v>853</v>
      </c>
      <c r="AP1" t="s">
        <v>852</v>
      </c>
      <c r="AQ1" t="s">
        <v>851</v>
      </c>
      <c r="AR1" t="s">
        <v>850</v>
      </c>
      <c r="AS1" t="s">
        <v>849</v>
      </c>
    </row>
    <row r="2" spans="1:45" hidden="1" x14ac:dyDescent="0.3">
      <c r="A2" t="s">
        <v>837</v>
      </c>
      <c r="B2" t="s">
        <v>684</v>
      </c>
      <c r="J2">
        <v>4.4442589389709504</v>
      </c>
      <c r="K2">
        <v>4.3052101883680196</v>
      </c>
      <c r="L2">
        <v>4.0905001860625703</v>
      </c>
      <c r="M2">
        <v>4.5258713427884603</v>
      </c>
      <c r="N2">
        <v>4.3109548552423202</v>
      </c>
      <c r="O2">
        <v>4.29619085922997</v>
      </c>
      <c r="P2">
        <v>4.2429649242430001</v>
      </c>
      <c r="Q2">
        <v>4.2038385481165097</v>
      </c>
      <c r="R2">
        <v>4.17569979323188</v>
      </c>
      <c r="S2">
        <v>4.1585759774517603</v>
      </c>
      <c r="T2">
        <v>4.1302809467328201</v>
      </c>
      <c r="U2">
        <v>4.1031432239677397</v>
      </c>
      <c r="V2">
        <v>4.0875261267016203</v>
      </c>
      <c r="W2">
        <v>4.0797980041329804</v>
      </c>
      <c r="X2">
        <v>4.0853911241654703</v>
      </c>
      <c r="Y2">
        <v>4.0827192063113102</v>
      </c>
      <c r="Z2">
        <v>4.0799463465690504</v>
      </c>
      <c r="AA2">
        <v>4.0670148952153102</v>
      </c>
      <c r="AB2">
        <v>4.0661758281100404</v>
      </c>
      <c r="AC2">
        <v>4.0669102016930498</v>
      </c>
      <c r="AD2">
        <v>4.0754701072600401</v>
      </c>
      <c r="AE2">
        <v>4.0870270906770596</v>
      </c>
      <c r="AF2">
        <v>4.0957567783195801</v>
      </c>
      <c r="AG2">
        <v>4.1066874181114903</v>
      </c>
      <c r="AH2">
        <v>4.1211865768706799</v>
      </c>
      <c r="AI2">
        <v>4.13156280453296</v>
      </c>
      <c r="AJ2">
        <v>4.1400806817201401</v>
      </c>
      <c r="AK2">
        <v>4.1518462427939804</v>
      </c>
      <c r="AL2">
        <v>4.1652408092607001</v>
      </c>
      <c r="AM2">
        <v>4.1801526604747998</v>
      </c>
      <c r="AN2">
        <v>4.1952842740546998</v>
      </c>
      <c r="AO2">
        <v>4.2124008791065997</v>
      </c>
      <c r="AP2">
        <v>4.2311739405567304</v>
      </c>
      <c r="AQ2">
        <v>4.2479123502517</v>
      </c>
      <c r="AR2">
        <v>4.2687709840764496</v>
      </c>
      <c r="AS2">
        <v>4.2915862102544704</v>
      </c>
    </row>
    <row r="3" spans="1:45" hidden="1" x14ac:dyDescent="0.3">
      <c r="A3" t="s">
        <v>837</v>
      </c>
      <c r="B3" t="s">
        <v>682</v>
      </c>
      <c r="J3">
        <v>4.3936187259867703</v>
      </c>
      <c r="K3">
        <v>4.1489194427192997</v>
      </c>
      <c r="L3">
        <v>3.88624575762864</v>
      </c>
      <c r="M3">
        <v>4.2395104457146999</v>
      </c>
      <c r="N3">
        <v>3.9795792428653098</v>
      </c>
      <c r="O3">
        <v>3.9032412175172699</v>
      </c>
      <c r="P3">
        <v>3.8089128390750102</v>
      </c>
      <c r="Q3">
        <v>3.7281737858971602</v>
      </c>
      <c r="R3">
        <v>3.6498872080719802</v>
      </c>
      <c r="S3">
        <v>3.5825798082057401</v>
      </c>
      <c r="T3">
        <v>3.51022383780901</v>
      </c>
      <c r="U3">
        <v>3.4409595910468398</v>
      </c>
      <c r="V3">
        <v>3.3847344209469501</v>
      </c>
      <c r="W3">
        <v>3.3402461523265599</v>
      </c>
      <c r="X3">
        <v>3.30854476897286</v>
      </c>
      <c r="Y3">
        <v>3.2837396490292301</v>
      </c>
      <c r="Z3">
        <v>3.2577294728960902</v>
      </c>
      <c r="AA3">
        <v>3.2269883271181099</v>
      </c>
      <c r="AB3">
        <v>3.2099781943658399</v>
      </c>
      <c r="AC3">
        <v>3.19533463005848</v>
      </c>
      <c r="AD3">
        <v>3.1882423994710201</v>
      </c>
      <c r="AE3">
        <v>3.1846650411197102</v>
      </c>
      <c r="AF3">
        <v>3.1782660160474099</v>
      </c>
      <c r="AG3">
        <v>3.1781027238883999</v>
      </c>
      <c r="AH3">
        <v>3.1798796445077802</v>
      </c>
      <c r="AI3">
        <v>3.1799270019896801</v>
      </c>
      <c r="AJ3">
        <v>3.1801644980225801</v>
      </c>
      <c r="AK3">
        <v>3.18303964721443</v>
      </c>
      <c r="AL3">
        <v>3.1872077464891699</v>
      </c>
      <c r="AM3">
        <v>3.1947427679480702</v>
      </c>
      <c r="AN3">
        <v>3.2043804978285202</v>
      </c>
      <c r="AO3">
        <v>3.2211236931711702</v>
      </c>
      <c r="AP3">
        <v>3.24219368056972</v>
      </c>
      <c r="AQ3">
        <v>3.2632589070079301</v>
      </c>
      <c r="AR3">
        <v>3.2929422523251999</v>
      </c>
      <c r="AS3">
        <v>3.3264766875901599</v>
      </c>
    </row>
    <row r="4" spans="1:45" hidden="1" x14ac:dyDescent="0.3">
      <c r="A4" t="s">
        <v>837</v>
      </c>
      <c r="B4" t="s">
        <v>836</v>
      </c>
      <c r="C4" t="s">
        <v>835</v>
      </c>
      <c r="D4" t="s">
        <v>835</v>
      </c>
      <c r="E4" t="s">
        <v>835</v>
      </c>
      <c r="J4">
        <v>5.0640212984178902E-2</v>
      </c>
      <c r="K4">
        <v>0.15629074564872</v>
      </c>
      <c r="L4">
        <v>0.20425442843393701</v>
      </c>
      <c r="M4">
        <v>0.28636089707375401</v>
      </c>
      <c r="N4">
        <v>0.33137561237701801</v>
      </c>
      <c r="O4">
        <v>0.39294964171271102</v>
      </c>
      <c r="P4">
        <v>0.43405208516799298</v>
      </c>
      <c r="Q4">
        <v>0.475664762219356</v>
      </c>
      <c r="R4">
        <v>0.52581258515990703</v>
      </c>
      <c r="S4">
        <v>0.57599616924601504</v>
      </c>
      <c r="T4">
        <v>0.62005710892381505</v>
      </c>
      <c r="U4">
        <v>0.66218363292089</v>
      </c>
      <c r="V4">
        <v>0.70279170575467098</v>
      </c>
      <c r="W4">
        <v>0.73955185180641803</v>
      </c>
      <c r="X4">
        <v>0.77684635519261203</v>
      </c>
      <c r="Y4">
        <v>0.79897955728208003</v>
      </c>
      <c r="Z4">
        <v>0.82221687367296603</v>
      </c>
      <c r="AA4">
        <v>0.840026568097204</v>
      </c>
      <c r="AB4">
        <v>0.856197633744192</v>
      </c>
      <c r="AC4">
        <v>0.871575571634572</v>
      </c>
      <c r="AD4">
        <v>0.88722770778902604</v>
      </c>
      <c r="AE4">
        <v>0.902362049557343</v>
      </c>
      <c r="AF4">
        <v>0.91749076227217397</v>
      </c>
      <c r="AG4">
        <v>0.92858469422308199</v>
      </c>
      <c r="AH4">
        <v>0.94130693236289997</v>
      </c>
      <c r="AI4">
        <v>0.95163580254328595</v>
      </c>
      <c r="AJ4">
        <v>0.95991618369756004</v>
      </c>
      <c r="AK4">
        <v>0.96880659557954396</v>
      </c>
      <c r="AL4">
        <v>0.97803306277152802</v>
      </c>
      <c r="AM4">
        <v>0.98540989252672395</v>
      </c>
      <c r="AN4">
        <v>0.99090377622617898</v>
      </c>
      <c r="AO4">
        <v>0.99127718593542202</v>
      </c>
      <c r="AP4">
        <v>0.988980259987015</v>
      </c>
      <c r="AQ4">
        <v>0.98465344324377002</v>
      </c>
      <c r="AR4">
        <v>0.97582873175124896</v>
      </c>
      <c r="AS4">
        <v>0.96510952266431704</v>
      </c>
    </row>
    <row r="5" spans="1:45" hidden="1" x14ac:dyDescent="0.3">
      <c r="A5" t="s">
        <v>837</v>
      </c>
      <c r="B5" t="s">
        <v>836</v>
      </c>
      <c r="C5" t="s">
        <v>848</v>
      </c>
      <c r="D5" t="s">
        <v>835</v>
      </c>
      <c r="E5" t="s">
        <v>835</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row>
    <row r="6" spans="1:45" hidden="1" x14ac:dyDescent="0.3">
      <c r="A6" t="s">
        <v>837</v>
      </c>
      <c r="B6" t="s">
        <v>836</v>
      </c>
      <c r="C6" t="s">
        <v>847</v>
      </c>
      <c r="D6" t="s">
        <v>835</v>
      </c>
      <c r="E6" t="s">
        <v>835</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row>
    <row r="7" spans="1:45" hidden="1" x14ac:dyDescent="0.3">
      <c r="A7" t="s">
        <v>837</v>
      </c>
      <c r="B7" t="s">
        <v>836</v>
      </c>
      <c r="C7" t="s">
        <v>846</v>
      </c>
      <c r="D7" t="s">
        <v>835</v>
      </c>
      <c r="E7" t="s">
        <v>835</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row>
    <row r="8" spans="1:45" hidden="1" x14ac:dyDescent="0.3">
      <c r="A8" t="s">
        <v>837</v>
      </c>
      <c r="B8" t="s">
        <v>836</v>
      </c>
      <c r="C8" t="s">
        <v>845</v>
      </c>
      <c r="D8" t="s">
        <v>835</v>
      </c>
      <c r="E8" t="s">
        <v>835</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row>
    <row r="9" spans="1:45" hidden="1" x14ac:dyDescent="0.3">
      <c r="A9" t="s">
        <v>837</v>
      </c>
      <c r="B9" t="s">
        <v>836</v>
      </c>
      <c r="C9" t="s">
        <v>681</v>
      </c>
      <c r="D9" t="s">
        <v>835</v>
      </c>
      <c r="E9" t="s">
        <v>835</v>
      </c>
      <c r="J9">
        <v>5.0640212984178902E-2</v>
      </c>
      <c r="K9">
        <v>0.15629074564872</v>
      </c>
      <c r="L9">
        <v>0.20425442843393701</v>
      </c>
      <c r="M9">
        <v>0.28636089707375401</v>
      </c>
      <c r="N9">
        <v>0.33137561237701801</v>
      </c>
      <c r="O9">
        <v>0.39294964171271102</v>
      </c>
      <c r="P9">
        <v>0.43405208516799298</v>
      </c>
      <c r="Q9">
        <v>0.475664762219356</v>
      </c>
      <c r="R9">
        <v>0.52581258515990703</v>
      </c>
      <c r="S9">
        <v>0.57599616924601504</v>
      </c>
      <c r="T9">
        <v>0.62005710892381505</v>
      </c>
      <c r="U9">
        <v>0.66218363292089</v>
      </c>
      <c r="V9">
        <v>0.70279170575467098</v>
      </c>
      <c r="W9">
        <v>0.73955185180641803</v>
      </c>
      <c r="X9">
        <v>0.77684635519261203</v>
      </c>
      <c r="Y9">
        <v>0.79897955728208003</v>
      </c>
      <c r="Z9">
        <v>0.82221687367296603</v>
      </c>
      <c r="AA9">
        <v>0.840026568097204</v>
      </c>
      <c r="AB9">
        <v>0.856197633744192</v>
      </c>
      <c r="AC9">
        <v>0.871575571634572</v>
      </c>
      <c r="AD9">
        <v>0.88722770778902604</v>
      </c>
      <c r="AE9">
        <v>0.902362049557343</v>
      </c>
      <c r="AF9">
        <v>0.91749076227217397</v>
      </c>
      <c r="AG9">
        <v>0.92858469422308199</v>
      </c>
      <c r="AH9">
        <v>0.94130693236289997</v>
      </c>
      <c r="AI9">
        <v>0.95163580254328595</v>
      </c>
      <c r="AJ9">
        <v>0.95991618369756004</v>
      </c>
      <c r="AK9">
        <v>0.96880659557954396</v>
      </c>
      <c r="AL9">
        <v>0.97803306277152802</v>
      </c>
      <c r="AM9">
        <v>0.98540989252672395</v>
      </c>
      <c r="AN9">
        <v>0.99090377622617898</v>
      </c>
      <c r="AO9">
        <v>0.99127718593542202</v>
      </c>
      <c r="AP9">
        <v>0.988980259987015</v>
      </c>
      <c r="AQ9">
        <v>0.98465344324377002</v>
      </c>
      <c r="AR9">
        <v>0.97582873175124896</v>
      </c>
      <c r="AS9">
        <v>0.96510952266431704</v>
      </c>
    </row>
    <row r="10" spans="1:45" hidden="1" x14ac:dyDescent="0.3">
      <c r="A10" t="s">
        <v>837</v>
      </c>
      <c r="B10" t="s">
        <v>836</v>
      </c>
      <c r="C10" t="s">
        <v>835</v>
      </c>
      <c r="D10" t="s">
        <v>844</v>
      </c>
      <c r="E10" t="s">
        <v>835</v>
      </c>
      <c r="J10">
        <v>0</v>
      </c>
      <c r="K10">
        <v>4.92697152155115E-3</v>
      </c>
      <c r="L10">
        <v>1.28689533303475E-2</v>
      </c>
      <c r="M10">
        <v>2.59488171159746E-2</v>
      </c>
      <c r="N10">
        <v>3.44043504977605E-2</v>
      </c>
      <c r="O10">
        <v>4.6121428970251101E-2</v>
      </c>
      <c r="P10">
        <v>5.92680125854547E-2</v>
      </c>
      <c r="Q10">
        <v>7.1733756698150894E-2</v>
      </c>
      <c r="R10">
        <v>8.4032460725375596E-2</v>
      </c>
      <c r="S10">
        <v>9.6347485380810297E-2</v>
      </c>
      <c r="T10">
        <v>0.108054757294616</v>
      </c>
      <c r="U10">
        <v>0.119424074135163</v>
      </c>
      <c r="V10">
        <v>0.130338645631218</v>
      </c>
      <c r="W10">
        <v>0.141363334586219</v>
      </c>
      <c r="X10">
        <v>0.15286738572493599</v>
      </c>
      <c r="Y10">
        <v>0.16221609509201801</v>
      </c>
      <c r="Z10">
        <v>0.172731944103065</v>
      </c>
      <c r="AA10">
        <v>0.18263172614293099</v>
      </c>
      <c r="AB10">
        <v>0.19395784631722701</v>
      </c>
      <c r="AC10">
        <v>0.20604845004306499</v>
      </c>
      <c r="AD10">
        <v>0.21868254258495501</v>
      </c>
      <c r="AE10">
        <v>0.23145501370515101</v>
      </c>
      <c r="AF10">
        <v>0.24437659413090701</v>
      </c>
      <c r="AG10">
        <v>0.25735298858598699</v>
      </c>
      <c r="AH10">
        <v>0.27075767085077102</v>
      </c>
      <c r="AI10">
        <v>0.28391980432650399</v>
      </c>
      <c r="AJ10">
        <v>0.29598045984301502</v>
      </c>
      <c r="AK10">
        <v>0.30782779081554001</v>
      </c>
      <c r="AL10">
        <v>0.319574414773662</v>
      </c>
      <c r="AM10">
        <v>0.33102366678655498</v>
      </c>
      <c r="AN10">
        <v>0.341632669153142</v>
      </c>
      <c r="AO10">
        <v>0.35165996562652502</v>
      </c>
      <c r="AP10">
        <v>0.361174485692699</v>
      </c>
      <c r="AQ10">
        <v>0.37009204552548303</v>
      </c>
      <c r="AR10">
        <v>0.37592365687886897</v>
      </c>
      <c r="AS10">
        <v>0.38003241161095103</v>
      </c>
    </row>
    <row r="11" spans="1:45" hidden="1" x14ac:dyDescent="0.3">
      <c r="A11" t="s">
        <v>837</v>
      </c>
      <c r="B11" t="s">
        <v>836</v>
      </c>
      <c r="C11" t="s">
        <v>835</v>
      </c>
      <c r="D11" t="s">
        <v>843</v>
      </c>
      <c r="E11" t="s">
        <v>835</v>
      </c>
      <c r="J11">
        <v>2.17415542466185E-2</v>
      </c>
      <c r="K11">
        <v>0.10091151573717599</v>
      </c>
      <c r="L11">
        <v>0.116487005472949</v>
      </c>
      <c r="M11">
        <v>0.14612639044255399</v>
      </c>
      <c r="N11">
        <v>0.159326195816756</v>
      </c>
      <c r="O11">
        <v>0.19452802044682399</v>
      </c>
      <c r="P11">
        <v>0.20515596092775901</v>
      </c>
      <c r="Q11">
        <v>0.21841644254490999</v>
      </c>
      <c r="R11">
        <v>0.24203293856716501</v>
      </c>
      <c r="S11">
        <v>0.26804877566985302</v>
      </c>
      <c r="T11">
        <v>0.29259666996419897</v>
      </c>
      <c r="U11">
        <v>0.31679780511141098</v>
      </c>
      <c r="V11">
        <v>0.33921802703549803</v>
      </c>
      <c r="W11">
        <v>0.35750572267323499</v>
      </c>
      <c r="X11">
        <v>0.375890757688294</v>
      </c>
      <c r="Y11">
        <v>0.38697763226399801</v>
      </c>
      <c r="Z11">
        <v>0.39978993794447898</v>
      </c>
      <c r="AA11">
        <v>0.40936410385779898</v>
      </c>
      <c r="AB11">
        <v>0.41662700137521502</v>
      </c>
      <c r="AC11">
        <v>0.42339169446743402</v>
      </c>
      <c r="AD11">
        <v>0.430515645248019</v>
      </c>
      <c r="AE11">
        <v>0.43781877374900402</v>
      </c>
      <c r="AF11">
        <v>0.44515798995301098</v>
      </c>
      <c r="AG11">
        <v>0.44926784636531197</v>
      </c>
      <c r="AH11">
        <v>0.455081460347528</v>
      </c>
      <c r="AI11">
        <v>0.46238910431292202</v>
      </c>
      <c r="AJ11">
        <v>0.46876801134592799</v>
      </c>
      <c r="AK11">
        <v>0.47589513949592899</v>
      </c>
      <c r="AL11">
        <v>0.483418020910996</v>
      </c>
      <c r="AM11">
        <v>0.48948278400164702</v>
      </c>
      <c r="AN11">
        <v>0.49448328255241297</v>
      </c>
      <c r="AO11">
        <v>0.49506113402895602</v>
      </c>
      <c r="AP11">
        <v>0.49374205158148798</v>
      </c>
      <c r="AQ11">
        <v>0.49171425863034002</v>
      </c>
      <c r="AR11">
        <v>0.48834888029121298</v>
      </c>
      <c r="AS11">
        <v>0.48473970244922199</v>
      </c>
    </row>
    <row r="12" spans="1:45" hidden="1" x14ac:dyDescent="0.3">
      <c r="A12" t="s">
        <v>837</v>
      </c>
      <c r="B12" t="s">
        <v>836</v>
      </c>
      <c r="C12" t="s">
        <v>835</v>
      </c>
      <c r="D12" t="s">
        <v>842</v>
      </c>
      <c r="E12" t="s">
        <v>835</v>
      </c>
      <c r="J12">
        <v>7.1895089581188202E-3</v>
      </c>
      <c r="K12">
        <v>1.3188827340402699E-2</v>
      </c>
      <c r="L12">
        <v>1.9981047598524201E-2</v>
      </c>
      <c r="M12">
        <v>3.1804550329957097E-2</v>
      </c>
      <c r="N12">
        <v>3.9174643013026103E-2</v>
      </c>
      <c r="O12">
        <v>4.3483361168903098E-2</v>
      </c>
      <c r="P12">
        <v>4.9243134954500001E-2</v>
      </c>
      <c r="Q12">
        <v>5.4682787118966E-2</v>
      </c>
      <c r="R12">
        <v>5.9655765056644001E-2</v>
      </c>
      <c r="S12">
        <v>6.3721067407199294E-2</v>
      </c>
      <c r="T12">
        <v>6.77915483273515E-2</v>
      </c>
      <c r="U12">
        <v>7.2131443438301898E-2</v>
      </c>
      <c r="V12">
        <v>7.6988473749515202E-2</v>
      </c>
      <c r="W12">
        <v>8.1852953467732595E-2</v>
      </c>
      <c r="X12">
        <v>8.6514035796442498E-2</v>
      </c>
      <c r="Y12">
        <v>9.07371968105955E-2</v>
      </c>
      <c r="Z12">
        <v>9.4258418994077303E-2</v>
      </c>
      <c r="AA12">
        <v>9.6863218824670097E-2</v>
      </c>
      <c r="AB12">
        <v>9.9008775782309003E-2</v>
      </c>
      <c r="AC12">
        <v>0.10046444973815299</v>
      </c>
      <c r="AD12">
        <v>0.10123504711614</v>
      </c>
      <c r="AE12">
        <v>0.101738623094382</v>
      </c>
      <c r="AF12">
        <v>0.101718187230455</v>
      </c>
      <c r="AG12">
        <v>0.101093949146911</v>
      </c>
      <c r="AH12">
        <v>0.10000769502833699</v>
      </c>
      <c r="AI12">
        <v>9.6659981389315003E-2</v>
      </c>
      <c r="AJ12">
        <v>9.29682624370336E-2</v>
      </c>
      <c r="AK12">
        <v>8.87099775851138E-2</v>
      </c>
      <c r="AL12">
        <v>8.4161186671435406E-2</v>
      </c>
      <c r="AM12">
        <v>7.9221802923567494E-2</v>
      </c>
      <c r="AN12">
        <v>7.3970046636065295E-2</v>
      </c>
      <c r="AO12">
        <v>6.8413984146873996E-2</v>
      </c>
      <c r="AP12">
        <v>6.2619795687465701E-2</v>
      </c>
      <c r="AQ12">
        <v>5.6719218495595497E-2</v>
      </c>
      <c r="AR12">
        <v>5.0516592577302899E-2</v>
      </c>
      <c r="AS12">
        <v>4.4043446465686503E-2</v>
      </c>
    </row>
    <row r="13" spans="1:45" hidden="1" x14ac:dyDescent="0.3">
      <c r="A13" t="s">
        <v>837</v>
      </c>
      <c r="B13" t="s">
        <v>836</v>
      </c>
      <c r="C13" t="s">
        <v>835</v>
      </c>
      <c r="D13" t="s">
        <v>841</v>
      </c>
      <c r="E13" t="s">
        <v>835</v>
      </c>
      <c r="J13">
        <v>2.1709149779441501E-2</v>
      </c>
      <c r="K13">
        <v>3.7263431049591102E-2</v>
      </c>
      <c r="L13">
        <v>5.4917422032115797E-2</v>
      </c>
      <c r="M13">
        <v>8.2481139185268101E-2</v>
      </c>
      <c r="N13">
        <v>9.8470423049475897E-2</v>
      </c>
      <c r="O13">
        <v>0.108816831126733</v>
      </c>
      <c r="P13">
        <v>0.12038497670028001</v>
      </c>
      <c r="Q13">
        <v>0.13083177585733</v>
      </c>
      <c r="R13">
        <v>0.14009142081072301</v>
      </c>
      <c r="S13">
        <v>0.147878840788153</v>
      </c>
      <c r="T13">
        <v>0.151614133337648</v>
      </c>
      <c r="U13">
        <v>0.15383031023601501</v>
      </c>
      <c r="V13">
        <v>0.15624655933843901</v>
      </c>
      <c r="W13">
        <v>0.15882984107923201</v>
      </c>
      <c r="X13">
        <v>0.16157417598293899</v>
      </c>
      <c r="Y13">
        <v>0.15904863311546799</v>
      </c>
      <c r="Z13">
        <v>0.155436572631344</v>
      </c>
      <c r="AA13">
        <v>0.151167519271804</v>
      </c>
      <c r="AB13">
        <v>0.146604010269441</v>
      </c>
      <c r="AC13">
        <v>0.14167097738591899</v>
      </c>
      <c r="AD13">
        <v>0.136794472839912</v>
      </c>
      <c r="AE13">
        <v>0.131349639008807</v>
      </c>
      <c r="AF13">
        <v>0.126237990957801</v>
      </c>
      <c r="AG13">
        <v>0.120869910124873</v>
      </c>
      <c r="AH13">
        <v>0.11546010613626501</v>
      </c>
      <c r="AI13">
        <v>0.10866691251454499</v>
      </c>
      <c r="AJ13">
        <v>0.102199450071583</v>
      </c>
      <c r="AK13">
        <v>9.6373687682961104E-2</v>
      </c>
      <c r="AL13">
        <v>9.0879440415434207E-2</v>
      </c>
      <c r="AM13">
        <v>8.5681638814954497E-2</v>
      </c>
      <c r="AN13">
        <v>8.0817777884557504E-2</v>
      </c>
      <c r="AO13">
        <v>7.6142102133067505E-2</v>
      </c>
      <c r="AP13">
        <v>7.1443927025363299E-2</v>
      </c>
      <c r="AQ13">
        <v>6.6127920592351605E-2</v>
      </c>
      <c r="AR13">
        <v>6.1039602003864303E-2</v>
      </c>
      <c r="AS13">
        <v>5.6293962138456999E-2</v>
      </c>
    </row>
    <row r="14" spans="1:45" hidden="1" x14ac:dyDescent="0.3">
      <c r="A14" t="s">
        <v>837</v>
      </c>
      <c r="B14" t="s">
        <v>836</v>
      </c>
      <c r="C14" t="s">
        <v>835</v>
      </c>
      <c r="D14" t="s">
        <v>835</v>
      </c>
      <c r="E14" t="s">
        <v>752</v>
      </c>
      <c r="J14">
        <v>6.3018664040223101E-3</v>
      </c>
      <c r="K14">
        <v>1.03982473361317E-2</v>
      </c>
      <c r="L14">
        <v>1.42064144906267E-2</v>
      </c>
      <c r="M14">
        <v>2.3999034312483299E-2</v>
      </c>
      <c r="N14">
        <v>2.83867981460597E-2</v>
      </c>
      <c r="O14">
        <v>3.3259146345398997E-2</v>
      </c>
      <c r="P14">
        <v>4.11876425008443E-2</v>
      </c>
      <c r="Q14">
        <v>4.9170800608949503E-2</v>
      </c>
      <c r="R14">
        <v>5.6822282426829802E-2</v>
      </c>
      <c r="S14">
        <v>6.4008476172824097E-2</v>
      </c>
      <c r="T14">
        <v>7.0380464612823199E-2</v>
      </c>
      <c r="U14">
        <v>7.6632042006498702E-2</v>
      </c>
      <c r="V14">
        <v>8.2801170127228804E-2</v>
      </c>
      <c r="W14">
        <v>8.8785568185809904E-2</v>
      </c>
      <c r="X14">
        <v>9.4448156571133701E-2</v>
      </c>
      <c r="Y14">
        <v>9.9292597826913104E-2</v>
      </c>
      <c r="Z14">
        <v>0.105095517791614</v>
      </c>
      <c r="AA14">
        <v>0.111587552685266</v>
      </c>
      <c r="AB14">
        <v>0.117917936312688</v>
      </c>
      <c r="AC14">
        <v>0.12414712976766799</v>
      </c>
      <c r="AD14">
        <v>0.13049854958430501</v>
      </c>
      <c r="AE14">
        <v>0.13631133799955999</v>
      </c>
      <c r="AF14">
        <v>0.14305426231130999</v>
      </c>
      <c r="AG14">
        <v>0.15029523968910199</v>
      </c>
      <c r="AH14">
        <v>0.15712563606567001</v>
      </c>
      <c r="AI14">
        <v>0.163968914365379</v>
      </c>
      <c r="AJ14">
        <v>0.17082692224245399</v>
      </c>
      <c r="AK14">
        <v>0.177956754433374</v>
      </c>
      <c r="AL14">
        <v>0.18264522316887399</v>
      </c>
      <c r="AM14">
        <v>0.18454760907392201</v>
      </c>
      <c r="AN14">
        <v>0.185878722247275</v>
      </c>
      <c r="AO14">
        <v>0.187623925073929</v>
      </c>
      <c r="AP14">
        <v>0.18949388831274899</v>
      </c>
      <c r="AQ14">
        <v>0.19146874179131301</v>
      </c>
      <c r="AR14">
        <v>0.191582964999092</v>
      </c>
      <c r="AS14">
        <v>0.191329084728074</v>
      </c>
    </row>
    <row r="15" spans="1:45" hidden="1" x14ac:dyDescent="0.3">
      <c r="A15" t="s">
        <v>837</v>
      </c>
      <c r="B15" t="s">
        <v>836</v>
      </c>
      <c r="C15" t="s">
        <v>835</v>
      </c>
      <c r="D15" t="s">
        <v>835</v>
      </c>
      <c r="E15" t="s">
        <v>746</v>
      </c>
      <c r="J15">
        <v>1.3979854779570899E-3</v>
      </c>
      <c r="K15">
        <v>3.0577376036446001E-3</v>
      </c>
      <c r="L15">
        <v>5.2961030262141003E-3</v>
      </c>
      <c r="M15">
        <v>8.9016137790112106E-3</v>
      </c>
      <c r="N15">
        <v>1.09708842788689E-2</v>
      </c>
      <c r="O15">
        <v>1.6791904538511499E-2</v>
      </c>
      <c r="P15">
        <v>2.2075598822932901E-2</v>
      </c>
      <c r="Q15">
        <v>2.7647818603771801E-2</v>
      </c>
      <c r="R15">
        <v>3.2350342012748501E-2</v>
      </c>
      <c r="S15">
        <v>3.7139004383561297E-2</v>
      </c>
      <c r="T15">
        <v>4.1009761182760202E-2</v>
      </c>
      <c r="U15">
        <v>4.50491082073309E-2</v>
      </c>
      <c r="V15">
        <v>4.9244905914418297E-2</v>
      </c>
      <c r="W15">
        <v>5.3620173110643703E-2</v>
      </c>
      <c r="X15">
        <v>5.87254619041815E-2</v>
      </c>
      <c r="Y15">
        <v>5.99183218185304E-2</v>
      </c>
      <c r="Z15">
        <v>6.5102841498026198E-2</v>
      </c>
      <c r="AA15">
        <v>7.1154561286759704E-2</v>
      </c>
      <c r="AB15">
        <v>7.9198155591005404E-2</v>
      </c>
      <c r="AC15">
        <v>8.8717835219724095E-2</v>
      </c>
      <c r="AD15">
        <v>0.100271047538752</v>
      </c>
      <c r="AE15">
        <v>0.113476813581484</v>
      </c>
      <c r="AF15">
        <v>0.12817275609613599</v>
      </c>
      <c r="AG15">
        <v>0.14403461230067899</v>
      </c>
      <c r="AH15">
        <v>0.16112756541360099</v>
      </c>
      <c r="AI15">
        <v>0.17990250365903299</v>
      </c>
      <c r="AJ15">
        <v>0.198815906934772</v>
      </c>
      <c r="AK15">
        <v>0.21838317629423001</v>
      </c>
      <c r="AL15">
        <v>0.23853003602193501</v>
      </c>
      <c r="AM15">
        <v>0.25778447520808001</v>
      </c>
      <c r="AN15">
        <v>0.27291950455609798</v>
      </c>
      <c r="AO15">
        <v>0.281674521007381</v>
      </c>
      <c r="AP15">
        <v>0.28853942478679201</v>
      </c>
      <c r="AQ15">
        <v>0.294118741532786</v>
      </c>
      <c r="AR15">
        <v>0.29758889697794899</v>
      </c>
      <c r="AS15">
        <v>0.30031277932436901</v>
      </c>
    </row>
    <row r="16" spans="1:45" hidden="1" x14ac:dyDescent="0.3">
      <c r="A16" t="s">
        <v>837</v>
      </c>
      <c r="B16" t="s">
        <v>836</v>
      </c>
      <c r="C16" t="s">
        <v>835</v>
      </c>
      <c r="D16" t="s">
        <v>835</v>
      </c>
      <c r="E16" t="s">
        <v>840</v>
      </c>
      <c r="J16">
        <v>1.6376992548297501E-2</v>
      </c>
      <c r="K16">
        <v>2.9762414507314101E-2</v>
      </c>
      <c r="L16">
        <v>5.28307364679391E-2</v>
      </c>
      <c r="M16">
        <v>0.10091810795964901</v>
      </c>
      <c r="N16">
        <v>0.12644147615679599</v>
      </c>
      <c r="O16">
        <v>0.14536611610646699</v>
      </c>
      <c r="P16">
        <v>0.166913088245844</v>
      </c>
      <c r="Q16">
        <v>0.18595564327119099</v>
      </c>
      <c r="R16">
        <v>0.202907292892123</v>
      </c>
      <c r="S16">
        <v>0.216954895691371</v>
      </c>
      <c r="T16">
        <v>0.22914755991133001</v>
      </c>
      <c r="U16">
        <v>0.239888329019361</v>
      </c>
      <c r="V16">
        <v>0.249680123942807</v>
      </c>
      <c r="W16">
        <v>0.25812512482731798</v>
      </c>
      <c r="X16">
        <v>0.26532496474182399</v>
      </c>
      <c r="Y16">
        <v>0.270751711680143</v>
      </c>
      <c r="Z16">
        <v>0.27474325240241498</v>
      </c>
      <c r="AA16">
        <v>0.27694561138710599</v>
      </c>
      <c r="AB16">
        <v>0.27808746686484698</v>
      </c>
      <c r="AC16">
        <v>0.27820478848767199</v>
      </c>
      <c r="AD16">
        <v>0.27741378598573102</v>
      </c>
      <c r="AE16">
        <v>0.274844702218279</v>
      </c>
      <c r="AF16">
        <v>0.27051678453551598</v>
      </c>
      <c r="AG16">
        <v>0.26368745237053798</v>
      </c>
      <c r="AH16">
        <v>0.256018148921689</v>
      </c>
      <c r="AI16">
        <v>0.24788260982726201</v>
      </c>
      <c r="AJ16">
        <v>0.23898833063307001</v>
      </c>
      <c r="AK16">
        <v>0.229256255783755</v>
      </c>
      <c r="AL16">
        <v>0.221177006731721</v>
      </c>
      <c r="AM16">
        <v>0.21441327318296199</v>
      </c>
      <c r="AN16">
        <v>0.20722208966202901</v>
      </c>
      <c r="AO16">
        <v>0.19856789633663299</v>
      </c>
      <c r="AP16">
        <v>0.18883619359011899</v>
      </c>
      <c r="AQ16">
        <v>0.17865621664550099</v>
      </c>
      <c r="AR16">
        <v>0.16794629951274101</v>
      </c>
      <c r="AS16">
        <v>0.15630709747545199</v>
      </c>
    </row>
    <row r="17" spans="1:45" hidden="1" x14ac:dyDescent="0.3">
      <c r="A17" t="s">
        <v>837</v>
      </c>
      <c r="B17" t="s">
        <v>836</v>
      </c>
      <c r="C17" t="s">
        <v>835</v>
      </c>
      <c r="D17" t="s">
        <v>835</v>
      </c>
      <c r="E17" t="s">
        <v>839</v>
      </c>
      <c r="J17">
        <v>-2.9605122944753701E-3</v>
      </c>
      <c r="K17">
        <v>-5.9260564695938203E-3</v>
      </c>
      <c r="L17">
        <v>-7.4630837543386498E-4</v>
      </c>
      <c r="M17">
        <v>5.3064702884382297E-3</v>
      </c>
      <c r="N17">
        <v>9.2151121863055605E-3</v>
      </c>
      <c r="O17">
        <v>1.5936621969250098E-2</v>
      </c>
      <c r="P17">
        <v>2.1249672948982699E-2</v>
      </c>
      <c r="Q17">
        <v>2.63538785810052E-2</v>
      </c>
      <c r="R17">
        <v>3.1032018390491401E-2</v>
      </c>
      <c r="S17">
        <v>3.5774113327803503E-2</v>
      </c>
      <c r="T17">
        <v>4.0080378603346997E-2</v>
      </c>
      <c r="U17">
        <v>4.3892031387612301E-2</v>
      </c>
      <c r="V17">
        <v>4.72047008383574E-2</v>
      </c>
      <c r="W17">
        <v>4.9957526450969299E-2</v>
      </c>
      <c r="X17">
        <v>5.2606638475505299E-2</v>
      </c>
      <c r="Y17">
        <v>5.5053561583531002E-2</v>
      </c>
      <c r="Z17">
        <v>5.6515519768228301E-2</v>
      </c>
      <c r="AA17">
        <v>5.68059602629249E-2</v>
      </c>
      <c r="AB17">
        <v>5.6705170174875898E-2</v>
      </c>
      <c r="AC17">
        <v>5.5535743818010103E-2</v>
      </c>
      <c r="AD17">
        <v>5.3343160034924897E-2</v>
      </c>
      <c r="AE17">
        <v>5.1094296142222197E-2</v>
      </c>
      <c r="AF17">
        <v>4.8559889177442701E-2</v>
      </c>
      <c r="AG17">
        <v>4.3207034171995097E-2</v>
      </c>
      <c r="AH17">
        <v>3.8999126082293202E-2</v>
      </c>
      <c r="AI17">
        <v>3.4817784799153297E-2</v>
      </c>
      <c r="AJ17">
        <v>3.0610191770486801E-2</v>
      </c>
      <c r="AK17">
        <v>2.66014704877949E-2</v>
      </c>
      <c r="AL17">
        <v>2.2538447487715101E-2</v>
      </c>
      <c r="AM17">
        <v>1.8364188575754999E-2</v>
      </c>
      <c r="AN17">
        <v>1.7342812049517001E-2</v>
      </c>
      <c r="AO17">
        <v>1.81512605093243E-2</v>
      </c>
      <c r="AP17">
        <v>1.8892992280533601E-2</v>
      </c>
      <c r="AQ17">
        <v>1.93679040100357E-2</v>
      </c>
      <c r="AR17">
        <v>1.9382067540233101E-2</v>
      </c>
      <c r="AS17">
        <v>1.92420499915919E-2</v>
      </c>
    </row>
    <row r="18" spans="1:45" hidden="1" x14ac:dyDescent="0.3">
      <c r="A18" t="s">
        <v>837</v>
      </c>
      <c r="B18" t="s">
        <v>836</v>
      </c>
      <c r="C18" t="s">
        <v>835</v>
      </c>
      <c r="D18" t="s">
        <v>835</v>
      </c>
      <c r="E18" t="s">
        <v>541</v>
      </c>
      <c r="J18">
        <v>0</v>
      </c>
      <c r="K18">
        <v>0</v>
      </c>
      <c r="L18">
        <v>0</v>
      </c>
      <c r="M18">
        <v>0</v>
      </c>
      <c r="N18">
        <v>0</v>
      </c>
      <c r="O18">
        <v>6.3201191976098605E-4</v>
      </c>
      <c r="P18">
        <v>1.20596666631145E-3</v>
      </c>
      <c r="Q18">
        <v>1.7521100354084701E-3</v>
      </c>
      <c r="R18">
        <v>2.2740106595927701E-3</v>
      </c>
      <c r="S18">
        <v>2.7799866546596298E-3</v>
      </c>
      <c r="T18">
        <v>3.1223523889015101E-3</v>
      </c>
      <c r="U18">
        <v>3.4234378936714199E-3</v>
      </c>
      <c r="V18">
        <v>3.7350910725587301E-3</v>
      </c>
      <c r="W18">
        <v>4.0537253918026903E-3</v>
      </c>
      <c r="X18">
        <v>4.3849163935102001E-3</v>
      </c>
      <c r="Y18">
        <v>7.3582798290138503E-3</v>
      </c>
      <c r="Z18">
        <v>1.0050178007821301E-2</v>
      </c>
      <c r="AA18">
        <v>1.25353196472641E-2</v>
      </c>
      <c r="AB18">
        <v>1.48954082766124E-2</v>
      </c>
      <c r="AC18">
        <v>1.7088694208303098E-2</v>
      </c>
      <c r="AD18">
        <v>1.9820319791451099E-2</v>
      </c>
      <c r="AE18">
        <v>2.2584207720006098E-2</v>
      </c>
      <c r="AF18">
        <v>2.5125086939198099E-2</v>
      </c>
      <c r="AG18">
        <v>2.7466206509605601E-2</v>
      </c>
      <c r="AH18">
        <v>2.9719320238785301E-2</v>
      </c>
      <c r="AI18">
        <v>3.17750650512829E-2</v>
      </c>
      <c r="AJ18">
        <v>3.3686121477362101E-2</v>
      </c>
      <c r="AK18">
        <v>3.5421286025746297E-2</v>
      </c>
      <c r="AL18">
        <v>3.6992864665204898E-2</v>
      </c>
      <c r="AM18">
        <v>3.84822017883336E-2</v>
      </c>
      <c r="AN18">
        <v>3.9882943295098297E-2</v>
      </c>
      <c r="AO18">
        <v>4.1207273828924099E-2</v>
      </c>
      <c r="AP18">
        <v>4.2219183744044597E-2</v>
      </c>
      <c r="AQ18">
        <v>4.2654514373510199E-2</v>
      </c>
      <c r="AR18">
        <v>4.3132574553677597E-2</v>
      </c>
      <c r="AS18">
        <v>4.3618196742590098E-2</v>
      </c>
    </row>
    <row r="19" spans="1:45" hidden="1" x14ac:dyDescent="0.3">
      <c r="A19" t="s">
        <v>837</v>
      </c>
      <c r="B19" t="s">
        <v>836</v>
      </c>
      <c r="C19" t="s">
        <v>835</v>
      </c>
      <c r="D19" t="s">
        <v>835</v>
      </c>
      <c r="E19" t="s">
        <v>20</v>
      </c>
      <c r="J19">
        <v>1.12140034192924E-2</v>
      </c>
      <c r="K19">
        <v>8.1704276612243804E-2</v>
      </c>
      <c r="L19">
        <v>7.6871471751978102E-2</v>
      </c>
      <c r="M19">
        <v>7.7077837072478894E-2</v>
      </c>
      <c r="N19">
        <v>7.5168063486049305E-2</v>
      </c>
      <c r="O19">
        <v>8.57044076005226E-2</v>
      </c>
      <c r="P19">
        <v>7.2599053031402502E-2</v>
      </c>
      <c r="Q19">
        <v>6.2449023637119003E-2</v>
      </c>
      <c r="R19">
        <v>6.49951899260372E-2</v>
      </c>
      <c r="S19">
        <v>7.1284787837432695E-2</v>
      </c>
      <c r="T19">
        <v>7.6756200601870994E-2</v>
      </c>
      <c r="U19">
        <v>8.2892913607624602E-2</v>
      </c>
      <c r="V19">
        <v>9.2084481309762795E-2</v>
      </c>
      <c r="W19">
        <v>0.101507330042953</v>
      </c>
      <c r="X19">
        <v>0.111683914446416</v>
      </c>
      <c r="Y19">
        <v>0.111407128934761</v>
      </c>
      <c r="Z19">
        <v>0.109843765246474</v>
      </c>
      <c r="AA19">
        <v>0.10786528651523999</v>
      </c>
      <c r="AB19">
        <v>0.106295493298411</v>
      </c>
      <c r="AC19">
        <v>0.10479621077896201</v>
      </c>
      <c r="AD19">
        <v>0.102754306610471</v>
      </c>
      <c r="AE19">
        <v>0.100882171375567</v>
      </c>
      <c r="AF19">
        <v>9.8951783057196901E-2</v>
      </c>
      <c r="AG19">
        <v>9.7065285477111907E-2</v>
      </c>
      <c r="AH19">
        <v>9.54010174777144E-2</v>
      </c>
      <c r="AI19">
        <v>9.0553498990017495E-2</v>
      </c>
      <c r="AJ19">
        <v>8.4919081466666199E-2</v>
      </c>
      <c r="AK19">
        <v>7.9876854227095104E-2</v>
      </c>
      <c r="AL19">
        <v>7.5351181423054997E-2</v>
      </c>
      <c r="AM19">
        <v>7.1395154609023598E-2</v>
      </c>
      <c r="AN19">
        <v>6.7719888259382299E-2</v>
      </c>
      <c r="AO19">
        <v>6.4302126785016997E-2</v>
      </c>
      <c r="AP19">
        <v>6.1347710176234201E-2</v>
      </c>
      <c r="AQ19">
        <v>5.8836781110087298E-2</v>
      </c>
      <c r="AR19">
        <v>5.6584447293868703E-2</v>
      </c>
      <c r="AS19">
        <v>5.4547939520033902E-2</v>
      </c>
    </row>
    <row r="20" spans="1:45" hidden="1" x14ac:dyDescent="0.3">
      <c r="A20" t="s">
        <v>837</v>
      </c>
      <c r="B20" t="s">
        <v>836</v>
      </c>
      <c r="C20" t="s">
        <v>835</v>
      </c>
      <c r="D20" t="s">
        <v>835</v>
      </c>
      <c r="E20" t="s">
        <v>22</v>
      </c>
      <c r="J20">
        <v>1.78325342724713E-2</v>
      </c>
      <c r="K20">
        <v>3.6286651270583697E-2</v>
      </c>
      <c r="L20">
        <v>4.66544500257184E-2</v>
      </c>
      <c r="M20">
        <v>5.3873141124674201E-2</v>
      </c>
      <c r="N20">
        <v>5.7920366201866497E-2</v>
      </c>
      <c r="O20">
        <v>6.3567205137548197E-2</v>
      </c>
      <c r="P20">
        <v>7.0075622612406005E-2</v>
      </c>
      <c r="Q20">
        <v>7.7511559400390798E-2</v>
      </c>
      <c r="R20">
        <v>8.5399315650975194E-2</v>
      </c>
      <c r="S20">
        <v>9.3476119918599193E-2</v>
      </c>
      <c r="T20">
        <v>0.101294589013491</v>
      </c>
      <c r="U20">
        <v>0.10897662287604699</v>
      </c>
      <c r="V20">
        <v>0.11535845880495001</v>
      </c>
      <c r="W20">
        <v>0.120127460765137</v>
      </c>
      <c r="X20">
        <v>0.126436110146358</v>
      </c>
      <c r="Y20">
        <v>0.13356794494100599</v>
      </c>
      <c r="Z20">
        <v>0.14117463748131601</v>
      </c>
      <c r="AA20">
        <v>0.1455766642245</v>
      </c>
      <c r="AB20">
        <v>0.14760091685622601</v>
      </c>
      <c r="AC20">
        <v>0.14963247061387799</v>
      </c>
      <c r="AD20">
        <v>0.15173348493316</v>
      </c>
      <c r="AE20">
        <v>0.153761282336532</v>
      </c>
      <c r="AF20">
        <v>0.15565116182476099</v>
      </c>
      <c r="AG20">
        <v>0.157212204904318</v>
      </c>
      <c r="AH20">
        <v>0.159010147996235</v>
      </c>
      <c r="AI20">
        <v>0.16051215473512101</v>
      </c>
      <c r="AJ20">
        <v>0.16149547111725401</v>
      </c>
      <c r="AK20">
        <v>0.162350333502494</v>
      </c>
      <c r="AL20">
        <v>0.163373230511657</v>
      </c>
      <c r="AM20">
        <v>0.16444519060365601</v>
      </c>
      <c r="AN20">
        <v>0.16536873240845401</v>
      </c>
      <c r="AO20">
        <v>0.16644342030176201</v>
      </c>
      <c r="AP20">
        <v>0.167507856581666</v>
      </c>
      <c r="AQ20">
        <v>0.16851688341726101</v>
      </c>
      <c r="AR20">
        <v>0.169591373616582</v>
      </c>
      <c r="AS20">
        <v>0.170690186503175</v>
      </c>
    </row>
    <row r="21" spans="1:45" hidden="1" x14ac:dyDescent="0.3">
      <c r="A21" t="s">
        <v>837</v>
      </c>
      <c r="B21" t="s">
        <v>836</v>
      </c>
      <c r="C21" t="s">
        <v>835</v>
      </c>
      <c r="D21" t="s">
        <v>835</v>
      </c>
      <c r="E21" t="s">
        <v>21</v>
      </c>
      <c r="J21">
        <v>4.7734315661360899E-4</v>
      </c>
      <c r="K21">
        <v>1.0074747883965199E-3</v>
      </c>
      <c r="L21">
        <v>6.7309021208681701E-3</v>
      </c>
      <c r="M21">
        <v>1.1845486999616701E-2</v>
      </c>
      <c r="N21">
        <v>1.6744125826932101E-2</v>
      </c>
      <c r="O21">
        <v>2.3089749822618601E-2</v>
      </c>
      <c r="P21">
        <v>2.81610369210951E-2</v>
      </c>
      <c r="Q21">
        <v>3.2294281951909899E-2</v>
      </c>
      <c r="R21">
        <v>3.5586605146072897E-2</v>
      </c>
      <c r="S21">
        <v>3.81989960303473E-2</v>
      </c>
      <c r="T21">
        <v>4.0037461205221302E-2</v>
      </c>
      <c r="U21">
        <v>4.1384469349202202E-2</v>
      </c>
      <c r="V21">
        <v>4.0833096347883603E-2</v>
      </c>
      <c r="W21">
        <v>3.9942418104292797E-2</v>
      </c>
      <c r="X21">
        <v>3.9026873032332203E-2</v>
      </c>
      <c r="Y21">
        <v>3.7113243433335497E-2</v>
      </c>
      <c r="Z21">
        <v>3.4896028882039999E-2</v>
      </c>
      <c r="AA21">
        <v>3.2568360545066503E-2</v>
      </c>
      <c r="AB21">
        <v>3.0232963585569001E-2</v>
      </c>
      <c r="AC21">
        <v>2.7922041881127499E-2</v>
      </c>
      <c r="AD21">
        <v>2.5544875374050102E-2</v>
      </c>
      <c r="AE21">
        <v>2.32208991618379E-2</v>
      </c>
      <c r="AF21">
        <v>2.0974617627241302E-2</v>
      </c>
      <c r="AG21">
        <v>1.88531347912579E-2</v>
      </c>
      <c r="AH21">
        <v>1.6864454358742099E-2</v>
      </c>
      <c r="AI21">
        <v>1.49086000587064E-2</v>
      </c>
      <c r="AJ21">
        <v>1.30061936438344E-2</v>
      </c>
      <c r="AK21">
        <v>1.11466882312808E-2</v>
      </c>
      <c r="AL21">
        <v>9.3599289449180501E-3</v>
      </c>
      <c r="AM21">
        <v>7.6531309085668504E-3</v>
      </c>
      <c r="AN21">
        <v>5.9719861977173298E-3</v>
      </c>
      <c r="AO21">
        <v>4.4420388971452502E-3</v>
      </c>
      <c r="AP21">
        <v>2.9895234768521602E-3</v>
      </c>
      <c r="AQ21">
        <v>1.61151222846887E-3</v>
      </c>
      <c r="AR21">
        <v>3.1585898211753202E-4</v>
      </c>
      <c r="AS21">
        <v>-9.1111669918487602E-4</v>
      </c>
    </row>
    <row r="22" spans="1:45" hidden="1" x14ac:dyDescent="0.3">
      <c r="A22" t="s">
        <v>837</v>
      </c>
      <c r="B22" t="s">
        <v>836</v>
      </c>
      <c r="C22" t="s">
        <v>835</v>
      </c>
      <c r="D22" t="s">
        <v>835</v>
      </c>
      <c r="E22" t="s">
        <v>838</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row>
    <row r="23" spans="1:45" hidden="1" x14ac:dyDescent="0.3">
      <c r="A23" t="s">
        <v>837</v>
      </c>
      <c r="B23" t="s">
        <v>836</v>
      </c>
      <c r="C23" t="s">
        <v>835</v>
      </c>
      <c r="D23" t="s">
        <v>835</v>
      </c>
      <c r="E23" t="s">
        <v>8</v>
      </c>
      <c r="F23">
        <v>5.9158578491467404</v>
      </c>
      <c r="G23">
        <v>16.849782628138001</v>
      </c>
      <c r="H23">
        <v>11.9740982877218</v>
      </c>
      <c r="I23">
        <v>223.62125449697101</v>
      </c>
      <c r="J23">
        <v>0</v>
      </c>
      <c r="K23">
        <v>0</v>
      </c>
      <c r="L23">
        <v>2.4106589260258801E-3</v>
      </c>
      <c r="M23">
        <v>4.4392055374023699E-3</v>
      </c>
      <c r="N23">
        <v>6.5287860941398599E-3</v>
      </c>
      <c r="O23">
        <v>8.6024782726329997E-3</v>
      </c>
      <c r="P23">
        <v>1.0584403418174E-2</v>
      </c>
      <c r="Q23">
        <v>1.2529646129610199E-2</v>
      </c>
      <c r="R23">
        <v>1.4445528055035999E-2</v>
      </c>
      <c r="S23">
        <v>1.6379789229416599E-2</v>
      </c>
      <c r="T23">
        <v>1.8228341404070401E-2</v>
      </c>
      <c r="U23">
        <v>2.0044678573542599E-2</v>
      </c>
      <c r="V23">
        <v>2.1849677396703199E-2</v>
      </c>
      <c r="W23">
        <v>2.3432524927491798E-2</v>
      </c>
      <c r="X23">
        <v>2.4209319481350799E-2</v>
      </c>
      <c r="Y23">
        <v>2.45167672348457E-2</v>
      </c>
      <c r="Z23">
        <v>2.4795132595030599E-2</v>
      </c>
      <c r="AA23">
        <v>2.4987251543076201E-2</v>
      </c>
      <c r="AB23">
        <v>2.52641227839564E-2</v>
      </c>
      <c r="AC23">
        <v>2.5530656859227101E-2</v>
      </c>
      <c r="AD23">
        <v>2.58481779361797E-2</v>
      </c>
      <c r="AE23">
        <v>2.6186339021853199E-2</v>
      </c>
      <c r="AF23">
        <v>2.64844207033712E-2</v>
      </c>
      <c r="AG23">
        <v>2.6763524008474999E-2</v>
      </c>
      <c r="AH23">
        <v>2.7041515808169301E-2</v>
      </c>
      <c r="AI23">
        <v>2.7314671057330601E-2</v>
      </c>
      <c r="AJ23">
        <v>2.7567964411660598E-2</v>
      </c>
      <c r="AK23">
        <v>2.7813776593772901E-2</v>
      </c>
      <c r="AL23">
        <v>2.8065143816447601E-2</v>
      </c>
      <c r="AM23">
        <v>2.8324668576425498E-2</v>
      </c>
      <c r="AN23">
        <v>2.8597097550607499E-2</v>
      </c>
      <c r="AO23">
        <v>2.8864723195307699E-2</v>
      </c>
      <c r="AP23">
        <v>2.9153487038024499E-2</v>
      </c>
      <c r="AQ23">
        <v>2.9422148134806099E-2</v>
      </c>
      <c r="AR23">
        <v>2.97042482749879E-2</v>
      </c>
      <c r="AS23">
        <v>2.9973305078215901E-2</v>
      </c>
    </row>
    <row r="24" spans="1:45" x14ac:dyDescent="0.3">
      <c r="A24" t="s">
        <v>834</v>
      </c>
      <c r="B24" t="s">
        <v>685</v>
      </c>
      <c r="C24" t="s">
        <v>681</v>
      </c>
      <c r="D24" t="s">
        <v>719</v>
      </c>
      <c r="E24" t="s">
        <v>679</v>
      </c>
      <c r="F24">
        <v>5.9158578491467404</v>
      </c>
      <c r="G24">
        <v>16.849782628138001</v>
      </c>
      <c r="H24">
        <v>11.9740982877218</v>
      </c>
      <c r="I24">
        <v>223.62125449697101</v>
      </c>
      <c r="J24">
        <v>0.100606362955553</v>
      </c>
      <c r="K24">
        <v>8.5917776049379904E-2</v>
      </c>
      <c r="L24">
        <v>7.4692205996661098E-2</v>
      </c>
      <c r="M24">
        <v>9.5776930838775198E-2</v>
      </c>
      <c r="N24">
        <v>8.9997765089280493E-2</v>
      </c>
      <c r="O24">
        <v>8.0396178829785295E-2</v>
      </c>
      <c r="P24">
        <v>7.6157550152817693E-2</v>
      </c>
      <c r="Q24">
        <v>7.2049185898099902E-2</v>
      </c>
      <c r="R24">
        <v>6.8106451418717406E-2</v>
      </c>
      <c r="S24">
        <v>6.4227766627472399E-2</v>
      </c>
      <c r="T24">
        <v>6.05283544858706E-2</v>
      </c>
      <c r="U24">
        <v>5.7071198220973098E-2</v>
      </c>
      <c r="V24">
        <v>5.3895425955372299E-2</v>
      </c>
      <c r="W24">
        <v>5.0856227713847901E-2</v>
      </c>
      <c r="X24">
        <v>4.7966160634216E-2</v>
      </c>
      <c r="Y24">
        <v>4.5163792981750002E-2</v>
      </c>
      <c r="Z24">
        <v>4.2486617107280099E-2</v>
      </c>
      <c r="AA24">
        <v>3.98997148324607E-2</v>
      </c>
      <c r="AB24">
        <v>3.7382898099912097E-2</v>
      </c>
      <c r="AC24">
        <v>3.49955829802625E-2</v>
      </c>
      <c r="AD24">
        <v>3.2718576923756897E-2</v>
      </c>
      <c r="AE24">
        <v>3.0533637519523E-2</v>
      </c>
      <c r="AF24">
        <v>2.8453182759392098E-2</v>
      </c>
      <c r="AG24">
        <v>2.6480228867479201E-2</v>
      </c>
      <c r="AH24">
        <v>2.4600073144775001E-2</v>
      </c>
      <c r="AI24">
        <v>2.2794198419224601E-2</v>
      </c>
      <c r="AJ24">
        <v>2.1070796547060299E-2</v>
      </c>
      <c r="AK24">
        <v>1.9431128190902099E-2</v>
      </c>
      <c r="AL24">
        <v>1.7862925826514602E-2</v>
      </c>
      <c r="AM24">
        <v>1.63718528383484E-2</v>
      </c>
      <c r="AN24">
        <v>1.49540923139763E-2</v>
      </c>
      <c r="AO24">
        <v>1.36105891487198E-2</v>
      </c>
      <c r="AP24">
        <v>1.23346226981325E-2</v>
      </c>
      <c r="AQ24">
        <v>1.11317045592243E-2</v>
      </c>
      <c r="AR24">
        <v>9.9908962776804593E-3</v>
      </c>
      <c r="AS24">
        <v>8.9218614528344502E-3</v>
      </c>
    </row>
    <row r="25" spans="1:45" x14ac:dyDescent="0.3">
      <c r="A25" t="s">
        <v>834</v>
      </c>
      <c r="B25" t="s">
        <v>684</v>
      </c>
      <c r="C25" t="s">
        <v>681</v>
      </c>
      <c r="D25" t="s">
        <v>719</v>
      </c>
      <c r="E25" t="s">
        <v>679</v>
      </c>
      <c r="F25">
        <v>5.9158578491467404</v>
      </c>
      <c r="G25">
        <v>16.849782628138001</v>
      </c>
      <c r="H25">
        <v>6308.1750219174601</v>
      </c>
      <c r="I25">
        <v>115741.194236924</v>
      </c>
      <c r="J25">
        <v>1.7471964590447801E-4</v>
      </c>
      <c r="K25">
        <v>1.5104217022573501E-4</v>
      </c>
      <c r="L25">
        <v>1.3820913418696501E-4</v>
      </c>
      <c r="M25">
        <v>1.9093690887881599E-4</v>
      </c>
      <c r="N25">
        <v>1.8685484666481299E-4</v>
      </c>
      <c r="O25">
        <v>1.6790850170746499E-4</v>
      </c>
      <c r="P25">
        <v>1.61534391764224E-4</v>
      </c>
      <c r="Q25">
        <v>1.5531681500181101E-4</v>
      </c>
      <c r="R25">
        <v>1.49550079997933E-4</v>
      </c>
      <c r="S25">
        <v>1.4376851619281699E-4</v>
      </c>
      <c r="T25">
        <v>1.37980814231287E-4</v>
      </c>
      <c r="U25">
        <v>1.3261758871660901E-4</v>
      </c>
      <c r="V25">
        <v>1.2779772890186199E-4</v>
      </c>
      <c r="W25">
        <v>1.2315845455773699E-4</v>
      </c>
      <c r="X25">
        <v>1.1881320231944E-4</v>
      </c>
      <c r="Y25">
        <v>1.14028309796605E-4</v>
      </c>
      <c r="Z25">
        <v>1.09398186308948E-4</v>
      </c>
      <c r="AA25">
        <v>1.04662045903733E-4</v>
      </c>
      <c r="AB25">
        <v>1.0010672924009501E-4</v>
      </c>
      <c r="AC25">
        <v>9.5685768973252102E-5</v>
      </c>
      <c r="AD25">
        <v>9.15257199858924E-5</v>
      </c>
      <c r="AE25">
        <v>8.8317487036286994E-5</v>
      </c>
      <c r="AF25">
        <v>8.4038906779405101E-5</v>
      </c>
      <c r="AG25">
        <v>7.9991519744746997E-5</v>
      </c>
      <c r="AH25">
        <v>7.6746805358349996E-5</v>
      </c>
      <c r="AI25">
        <v>7.3708648836784695E-5</v>
      </c>
      <c r="AJ25">
        <v>7.0826502693466595E-5</v>
      </c>
      <c r="AK25">
        <v>6.8162395496654797E-5</v>
      </c>
      <c r="AL25">
        <v>6.5519526890603298E-5</v>
      </c>
      <c r="AM25">
        <v>6.2978648983092803E-5</v>
      </c>
      <c r="AN25">
        <v>6.04229412876927E-5</v>
      </c>
      <c r="AO25">
        <v>5.7857096402194501E-5</v>
      </c>
      <c r="AP25">
        <v>5.5267353114249298E-5</v>
      </c>
      <c r="AQ25">
        <v>5.2615756057015297E-5</v>
      </c>
      <c r="AR25">
        <v>4.9994202946642702E-5</v>
      </c>
      <c r="AS25">
        <v>4.7394913799723601E-5</v>
      </c>
    </row>
    <row r="26" spans="1:45" x14ac:dyDescent="0.3">
      <c r="A26" t="s">
        <v>834</v>
      </c>
      <c r="B26" t="s">
        <v>682</v>
      </c>
      <c r="C26" t="s">
        <v>681</v>
      </c>
      <c r="D26" t="s">
        <v>719</v>
      </c>
      <c r="E26" t="s">
        <v>679</v>
      </c>
      <c r="F26">
        <v>5.9158578491467404</v>
      </c>
      <c r="G26">
        <v>16.849782628138001</v>
      </c>
      <c r="H26">
        <v>6308.1750219174601</v>
      </c>
      <c r="I26">
        <v>115741.194236924</v>
      </c>
      <c r="J26">
        <v>1.6848475679547801E-4</v>
      </c>
      <c r="K26">
        <v>1.4053752024066201E-4</v>
      </c>
      <c r="L26">
        <v>1.24457541966757E-4</v>
      </c>
      <c r="M26">
        <v>1.66959197839024E-4</v>
      </c>
      <c r="N26">
        <v>1.58377531433846E-4</v>
      </c>
      <c r="O26">
        <v>1.37370274375664E-4</v>
      </c>
      <c r="P26">
        <v>1.27584478945624E-4</v>
      </c>
      <c r="Q26">
        <v>1.1840602910092199E-4</v>
      </c>
      <c r="R26">
        <v>1.10072344202389E-4</v>
      </c>
      <c r="S26">
        <v>1.02240683020105E-4</v>
      </c>
      <c r="T26">
        <v>9.4723245150778496E-5</v>
      </c>
      <c r="U26">
        <v>8.7869553517769998E-5</v>
      </c>
      <c r="V26">
        <v>8.1722761639274396E-5</v>
      </c>
      <c r="W26">
        <v>7.5997113465577806E-5</v>
      </c>
      <c r="X26">
        <v>7.0770511999264602E-5</v>
      </c>
      <c r="Y26">
        <v>6.5382697966912706E-5</v>
      </c>
      <c r="Z26">
        <v>6.0359207582955602E-5</v>
      </c>
      <c r="AA26">
        <v>5.5490866348307003E-5</v>
      </c>
      <c r="AB26">
        <v>5.1024590283881099E-5</v>
      </c>
      <c r="AC26">
        <v>4.68559022020427E-5</v>
      </c>
      <c r="AD26">
        <v>4.3083209332987902E-5</v>
      </c>
      <c r="AE26">
        <v>4.0266029359063199E-5</v>
      </c>
      <c r="AF26">
        <v>3.6804610999384498E-5</v>
      </c>
      <c r="AG26">
        <v>3.3654106103641803E-5</v>
      </c>
      <c r="AH26">
        <v>3.1198257353884197E-5</v>
      </c>
      <c r="AI26">
        <v>2.8919364812959601E-5</v>
      </c>
      <c r="AJ26">
        <v>2.6804091517177601E-5</v>
      </c>
      <c r="AK26">
        <v>2.4840683030678301E-5</v>
      </c>
      <c r="AL26">
        <v>2.29519254884549E-5</v>
      </c>
      <c r="AM26">
        <v>2.1183025166294199E-5</v>
      </c>
      <c r="AN26">
        <v>1.94705405099922E-5</v>
      </c>
      <c r="AO26">
        <v>1.7813690012515499E-5</v>
      </c>
      <c r="AP26">
        <v>1.62130369310065E-5</v>
      </c>
      <c r="AQ26">
        <v>1.4648750808668E-5</v>
      </c>
      <c r="AR26">
        <v>1.31610461478637E-5</v>
      </c>
      <c r="AS26">
        <v>1.1749239730688501E-5</v>
      </c>
    </row>
    <row r="27" spans="1:45" x14ac:dyDescent="0.3">
      <c r="A27" t="s">
        <v>833</v>
      </c>
      <c r="B27" t="s">
        <v>686</v>
      </c>
      <c r="C27" t="s">
        <v>681</v>
      </c>
      <c r="D27" t="s">
        <v>719</v>
      </c>
      <c r="E27" t="s">
        <v>679</v>
      </c>
      <c r="F27">
        <v>26.470331319649802</v>
      </c>
      <c r="G27">
        <v>3.77781444388041</v>
      </c>
      <c r="H27">
        <v>2.6388357968321099</v>
      </c>
      <c r="I27">
        <v>49.342906137032799</v>
      </c>
      <c r="J27">
        <v>2.42125317945341E-3</v>
      </c>
      <c r="K27">
        <v>4.4766792919808699E-3</v>
      </c>
      <c r="L27">
        <v>6.2121375738883999E-3</v>
      </c>
      <c r="M27">
        <v>1.13092826739561E-2</v>
      </c>
      <c r="N27">
        <v>1.4128431839354199E-2</v>
      </c>
      <c r="O27">
        <v>1.5777237378927101E-2</v>
      </c>
      <c r="P27">
        <v>1.81261242465031E-2</v>
      </c>
      <c r="Q27">
        <v>2.033765263255E-2</v>
      </c>
      <c r="R27">
        <v>2.24312623649074E-2</v>
      </c>
      <c r="S27">
        <v>2.4385620694863899E-2</v>
      </c>
      <c r="T27">
        <v>2.6268122741444501E-2</v>
      </c>
      <c r="U27">
        <v>2.81452632343017E-2</v>
      </c>
      <c r="V27">
        <v>3.00645860665643E-2</v>
      </c>
      <c r="W27">
        <v>3.19633220307739E-2</v>
      </c>
      <c r="X27">
        <v>3.3847198226803203E-2</v>
      </c>
      <c r="Y27">
        <v>3.5675908525831301E-2</v>
      </c>
      <c r="Z27">
        <v>3.7483521265952197E-2</v>
      </c>
      <c r="AA27">
        <v>3.9233023223212302E-2</v>
      </c>
      <c r="AB27">
        <v>4.0900768322598501E-2</v>
      </c>
      <c r="AC27">
        <v>4.2541627093957701E-2</v>
      </c>
      <c r="AD27">
        <v>4.4135465654111097E-2</v>
      </c>
      <c r="AE27">
        <v>4.5667557056791701E-2</v>
      </c>
      <c r="AF27">
        <v>4.7164616080724003E-2</v>
      </c>
      <c r="AG27">
        <v>4.8653388416302797E-2</v>
      </c>
      <c r="AH27">
        <v>5.0126729588205701E-2</v>
      </c>
      <c r="AI27">
        <v>5.1558840498501297E-2</v>
      </c>
      <c r="AJ27">
        <v>5.29601256186117E-2</v>
      </c>
      <c r="AK27">
        <v>5.4341558765593601E-2</v>
      </c>
      <c r="AL27">
        <v>5.5673918282279203E-2</v>
      </c>
      <c r="AM27">
        <v>5.6976929354378703E-2</v>
      </c>
      <c r="AN27">
        <v>5.8249740132052398E-2</v>
      </c>
      <c r="AO27">
        <v>5.9499884898653002E-2</v>
      </c>
      <c r="AP27">
        <v>6.0704208831644103E-2</v>
      </c>
      <c r="AQ27">
        <v>6.1890401398690502E-2</v>
      </c>
      <c r="AR27">
        <v>6.3001322332673498E-2</v>
      </c>
      <c r="AS27">
        <v>6.4093506675065096E-2</v>
      </c>
    </row>
    <row r="28" spans="1:45" x14ac:dyDescent="0.3">
      <c r="A28" t="s">
        <v>833</v>
      </c>
      <c r="B28" t="s">
        <v>685</v>
      </c>
      <c r="C28" t="s">
        <v>681</v>
      </c>
      <c r="D28" t="s">
        <v>719</v>
      </c>
      <c r="E28" t="s">
        <v>679</v>
      </c>
      <c r="F28">
        <v>26.470331319649802</v>
      </c>
      <c r="G28">
        <v>3.77781444388041</v>
      </c>
      <c r="H28">
        <v>2.6388357968321099</v>
      </c>
      <c r="I28">
        <v>49.342906137032799</v>
      </c>
      <c r="J28">
        <v>2.42125317945341E-5</v>
      </c>
      <c r="K28">
        <v>4.4766792919808701E-5</v>
      </c>
      <c r="L28">
        <v>6.2186766660714396E-5</v>
      </c>
      <c r="M28">
        <v>1.1339288469181501E-4</v>
      </c>
      <c r="N28">
        <v>1.4205534639593901E-4</v>
      </c>
      <c r="O28">
        <v>1.59285498901762E-4</v>
      </c>
      <c r="P28">
        <v>1.84017355640767E-4</v>
      </c>
      <c r="Q28">
        <v>2.07762902682363E-4</v>
      </c>
      <c r="R28">
        <v>2.30976465963004E-4</v>
      </c>
      <c r="S28">
        <v>2.5388203248833102E-4</v>
      </c>
      <c r="T28">
        <v>2.7676743931969702E-4</v>
      </c>
      <c r="U28">
        <v>3.0040420357174599E-4</v>
      </c>
      <c r="V28">
        <v>3.2492925630102902E-4</v>
      </c>
      <c r="W28">
        <v>3.5016426087714902E-4</v>
      </c>
      <c r="X28">
        <v>3.76280603354506E-4</v>
      </c>
      <c r="Y28">
        <v>4.0294860051167498E-4</v>
      </c>
      <c r="Z28">
        <v>4.3068027436796603E-4</v>
      </c>
      <c r="AA28">
        <v>4.5920306371892899E-4</v>
      </c>
      <c r="AB28">
        <v>4.8839614887105805E-4</v>
      </c>
      <c r="AC28">
        <v>5.1910066706000997E-4</v>
      </c>
      <c r="AD28">
        <v>5.5131691041808504E-4</v>
      </c>
      <c r="AE28">
        <v>5.8514163363749898E-4</v>
      </c>
      <c r="AF28">
        <v>6.2126146462821602E-4</v>
      </c>
      <c r="AG28">
        <v>6.6049001742128903E-4</v>
      </c>
      <c r="AH28">
        <v>7.0333721622803901E-4</v>
      </c>
      <c r="AI28">
        <v>7.4646013370664602E-4</v>
      </c>
      <c r="AJ28">
        <v>7.8992920258241295E-4</v>
      </c>
      <c r="AK28">
        <v>8.3779659892596104E-4</v>
      </c>
      <c r="AL28">
        <v>8.8571027576359897E-4</v>
      </c>
      <c r="AM28">
        <v>9.3389248512884505E-4</v>
      </c>
      <c r="AN28">
        <v>9.8225945791622607E-4</v>
      </c>
      <c r="AO28">
        <v>1.03087361975098E-3</v>
      </c>
      <c r="AP28">
        <v>1.07926788434308E-3</v>
      </c>
      <c r="AQ28">
        <v>1.12786252758785E-3</v>
      </c>
      <c r="AR28">
        <v>1.17554635440366E-3</v>
      </c>
      <c r="AS28">
        <v>1.2232817984737399E-3</v>
      </c>
    </row>
    <row r="29" spans="1:45" x14ac:dyDescent="0.3">
      <c r="A29" t="s">
        <v>833</v>
      </c>
      <c r="B29" t="s">
        <v>684</v>
      </c>
      <c r="C29" t="s">
        <v>681</v>
      </c>
      <c r="D29" t="s">
        <v>719</v>
      </c>
      <c r="E29" t="s">
        <v>679</v>
      </c>
      <c r="F29">
        <v>26.470331319649802</v>
      </c>
      <c r="G29">
        <v>3.77781444388041</v>
      </c>
      <c r="H29">
        <v>21.154284594489202</v>
      </c>
      <c r="I29">
        <v>389.09502277738898</v>
      </c>
      <c r="J29">
        <v>5.1635770741286402E-4</v>
      </c>
      <c r="K29">
        <v>7.5496005693729705E-4</v>
      </c>
      <c r="L29">
        <v>9.5067969909077004E-4</v>
      </c>
      <c r="M29">
        <v>2.1292078566174E-3</v>
      </c>
      <c r="N29">
        <v>2.9485123634956098E-3</v>
      </c>
      <c r="O29">
        <v>3.45994101389481E-3</v>
      </c>
      <c r="P29">
        <v>4.0835075165373998E-3</v>
      </c>
      <c r="Q29">
        <v>4.6538362227100498E-3</v>
      </c>
      <c r="R29">
        <v>5.1807465125808796E-3</v>
      </c>
      <c r="S29">
        <v>5.6529473934399397E-3</v>
      </c>
      <c r="T29">
        <v>6.0940816752427301E-3</v>
      </c>
      <c r="U29">
        <v>6.5214876062373002E-3</v>
      </c>
      <c r="V29">
        <v>6.94660630664066E-3</v>
      </c>
      <c r="W29">
        <v>7.3521019870094401E-3</v>
      </c>
      <c r="X29">
        <v>7.7373320346894401E-3</v>
      </c>
      <c r="Y29">
        <v>8.0403531078663704E-3</v>
      </c>
      <c r="Z29">
        <v>8.3136334334432405E-3</v>
      </c>
      <c r="AA29">
        <v>8.5381948661469604E-3</v>
      </c>
      <c r="AB29">
        <v>8.7027053428596797E-3</v>
      </c>
      <c r="AC29">
        <v>8.8096027393206704E-3</v>
      </c>
      <c r="AD29">
        <v>8.8439910461580607E-3</v>
      </c>
      <c r="AE29">
        <v>8.7755654397581508E-3</v>
      </c>
      <c r="AF29">
        <v>8.5673569947413205E-3</v>
      </c>
      <c r="AG29">
        <v>8.1653162706024508E-3</v>
      </c>
      <c r="AH29">
        <v>7.4668130732337898E-3</v>
      </c>
      <c r="AI29">
        <v>6.4226594204958697E-3</v>
      </c>
      <c r="AJ29">
        <v>4.8752355673414797E-3</v>
      </c>
      <c r="AK29">
        <v>2.18666648403035E-3</v>
      </c>
      <c r="AL29">
        <v>1.31257322552901E-3</v>
      </c>
      <c r="AM29">
        <v>3.1058426029814301E-3</v>
      </c>
      <c r="AN29">
        <v>5.5665762359621397E-3</v>
      </c>
      <c r="AO29">
        <v>7.5729558965034601E-3</v>
      </c>
      <c r="AP29">
        <v>9.2623660089257501E-3</v>
      </c>
      <c r="AQ29">
        <v>1.07478349598301E-2</v>
      </c>
      <c r="AR29">
        <v>1.20936283743213E-2</v>
      </c>
      <c r="AS29">
        <v>1.3344997436011301E-2</v>
      </c>
    </row>
    <row r="30" spans="1:45" x14ac:dyDescent="0.3">
      <c r="A30" t="s">
        <v>833</v>
      </c>
      <c r="B30" t="s">
        <v>682</v>
      </c>
      <c r="C30" t="s">
        <v>681</v>
      </c>
      <c r="D30" t="s">
        <v>719</v>
      </c>
      <c r="E30" t="s">
        <v>679</v>
      </c>
      <c r="F30">
        <v>26.470331319649802</v>
      </c>
      <c r="G30">
        <v>3.77781444388041</v>
      </c>
      <c r="H30">
        <v>21.154284594489202</v>
      </c>
      <c r="I30">
        <v>389.09502277738898</v>
      </c>
      <c r="J30">
        <v>3.72035460953995E-6</v>
      </c>
      <c r="K30">
        <v>6.4613601326329804E-6</v>
      </c>
      <c r="L30">
        <v>8.6102216125945902E-6</v>
      </c>
      <c r="M30">
        <v>1.9793629355904199E-5</v>
      </c>
      <c r="N30">
        <v>2.7722950762480101E-5</v>
      </c>
      <c r="O30">
        <v>3.2667735907462603E-5</v>
      </c>
      <c r="P30">
        <v>3.8660212415016402E-5</v>
      </c>
      <c r="Q30">
        <v>4.4195940855673697E-5</v>
      </c>
      <c r="R30">
        <v>4.9453789491686201E-5</v>
      </c>
      <c r="S30">
        <v>5.4441184964779403E-5</v>
      </c>
      <c r="T30">
        <v>5.9272904372457799E-5</v>
      </c>
      <c r="U30">
        <v>6.4142727421765195E-5</v>
      </c>
      <c r="V30">
        <v>6.9084644984378194E-5</v>
      </c>
      <c r="W30">
        <v>7.4027469455316704E-5</v>
      </c>
      <c r="X30">
        <v>7.8990411955480702E-5</v>
      </c>
      <c r="Y30">
        <v>8.3119786662393295E-5</v>
      </c>
      <c r="Z30">
        <v>8.7194098441537398E-5</v>
      </c>
      <c r="AA30">
        <v>9.1010030340603495E-5</v>
      </c>
      <c r="AB30">
        <v>9.4446502984881295E-5</v>
      </c>
      <c r="AC30">
        <v>9.7538023511920194E-5</v>
      </c>
      <c r="AD30">
        <v>1.00137303660701E-4</v>
      </c>
      <c r="AE30">
        <v>1.0185831172358201E-4</v>
      </c>
      <c r="AF30">
        <v>1.02180860432765E-4</v>
      </c>
      <c r="AG30">
        <v>1.00340165090302E-4</v>
      </c>
      <c r="AH30">
        <v>9.4846883317765401E-5</v>
      </c>
      <c r="AI30">
        <v>8.4202185983729602E-5</v>
      </c>
      <c r="AJ30">
        <v>6.59113522416625E-5</v>
      </c>
      <c r="AK30">
        <v>3.07054062054505E-5</v>
      </c>
      <c r="AL30">
        <v>1.9425929340352999E-5</v>
      </c>
      <c r="AM30">
        <v>4.6596247123869002E-5</v>
      </c>
      <c r="AN30">
        <v>8.5369543072539604E-5</v>
      </c>
      <c r="AO30">
        <v>1.1905464131382101E-4</v>
      </c>
      <c r="AP30">
        <v>1.4915336602801699E-4</v>
      </c>
      <c r="AQ30">
        <v>1.7716701622322699E-4</v>
      </c>
      <c r="AR30">
        <v>2.0390887259091599E-4</v>
      </c>
      <c r="AS30">
        <v>2.2997013383679101E-4</v>
      </c>
    </row>
    <row r="31" spans="1:45" x14ac:dyDescent="0.3">
      <c r="A31" t="s">
        <v>832</v>
      </c>
      <c r="B31" t="s">
        <v>686</v>
      </c>
      <c r="C31" t="s">
        <v>681</v>
      </c>
      <c r="D31" t="s">
        <v>719</v>
      </c>
      <c r="E31" t="s">
        <v>746</v>
      </c>
      <c r="F31">
        <v>1.6727189508681399</v>
      </c>
      <c r="G31">
        <v>17.5856869864262</v>
      </c>
      <c r="H31">
        <v>19.4850227432071</v>
      </c>
      <c r="I31">
        <v>479.31056558426002</v>
      </c>
      <c r="J31">
        <v>0.11366870600238101</v>
      </c>
      <c r="K31">
        <v>0.120998051097726</v>
      </c>
      <c r="L31">
        <v>0.115065716192726</v>
      </c>
      <c r="M31">
        <v>0.12478654444778201</v>
      </c>
      <c r="N31">
        <v>0.115778430703429</v>
      </c>
      <c r="O31">
        <v>0.12670156859920301</v>
      </c>
      <c r="P31">
        <v>0.129437748552719</v>
      </c>
      <c r="Q31">
        <v>0.131673018414662</v>
      </c>
      <c r="R31">
        <v>0.13361508662423399</v>
      </c>
      <c r="S31">
        <v>0.13564183643375899</v>
      </c>
      <c r="T31">
        <v>0.13704006699288701</v>
      </c>
      <c r="U31">
        <v>0.13861303149554199</v>
      </c>
      <c r="V31">
        <v>0.140571934867565</v>
      </c>
      <c r="W31">
        <v>0.14280731655722301</v>
      </c>
      <c r="X31">
        <v>0.145533793660448</v>
      </c>
      <c r="Y31">
        <v>0.14805422768542101</v>
      </c>
      <c r="Z31">
        <v>0.15046960933162501</v>
      </c>
      <c r="AA31">
        <v>0.152319270076228</v>
      </c>
      <c r="AB31">
        <v>0.15461944660233601</v>
      </c>
      <c r="AC31">
        <v>0.15686795898165501</v>
      </c>
      <c r="AD31">
        <v>0.15933856997811</v>
      </c>
      <c r="AE31">
        <v>0.161849384346234</v>
      </c>
      <c r="AF31">
        <v>0.16417543915100299</v>
      </c>
      <c r="AG31">
        <v>0.166578249265045</v>
      </c>
      <c r="AH31">
        <v>0.169145743102074</v>
      </c>
      <c r="AI31">
        <v>0.17181335947297099</v>
      </c>
      <c r="AJ31">
        <v>0.174319837467483</v>
      </c>
      <c r="AK31">
        <v>0.17698296698963001</v>
      </c>
      <c r="AL31">
        <v>0.17970046157337</v>
      </c>
      <c r="AM31">
        <v>0.182433957672194</v>
      </c>
      <c r="AN31">
        <v>0.18517507003758099</v>
      </c>
      <c r="AO31">
        <v>0.188074439702792</v>
      </c>
      <c r="AP31">
        <v>0.19106874818032901</v>
      </c>
      <c r="AQ31">
        <v>0.19392928478719901</v>
      </c>
      <c r="AR31">
        <v>0.197035232134606</v>
      </c>
      <c r="AS31">
        <v>0.20028415268278901</v>
      </c>
    </row>
    <row r="32" spans="1:45" x14ac:dyDescent="0.3">
      <c r="A32" t="s">
        <v>832</v>
      </c>
      <c r="B32" t="s">
        <v>685</v>
      </c>
      <c r="C32" t="s">
        <v>681</v>
      </c>
      <c r="D32" t="s">
        <v>719</v>
      </c>
      <c r="E32" t="s">
        <v>746</v>
      </c>
      <c r="F32">
        <v>1.6727189508681399</v>
      </c>
      <c r="G32">
        <v>17.5856869864262</v>
      </c>
      <c r="H32">
        <v>19.4850227432071</v>
      </c>
      <c r="I32">
        <v>479.31056558426002</v>
      </c>
      <c r="J32">
        <v>0.11366870600238101</v>
      </c>
      <c r="K32">
        <v>0.120998051097726</v>
      </c>
      <c r="L32">
        <v>0.11211203663502201</v>
      </c>
      <c r="M32">
        <v>0.118513986390512</v>
      </c>
      <c r="N32">
        <v>0.107150944808393</v>
      </c>
      <c r="O32">
        <v>0.114450341218661</v>
      </c>
      <c r="P32">
        <v>0.11416884255705199</v>
      </c>
      <c r="Q32">
        <v>0.11346488037175199</v>
      </c>
      <c r="R32">
        <v>0.112548993044212</v>
      </c>
      <c r="S32">
        <v>0.111753355303062</v>
      </c>
      <c r="T32">
        <v>0.110495519092981</v>
      </c>
      <c r="U32">
        <v>0.10944153995967799</v>
      </c>
      <c r="V32">
        <v>0.10874828300433299</v>
      </c>
      <c r="W32">
        <v>0.108315555043082</v>
      </c>
      <c r="X32">
        <v>0.10829352685393701</v>
      </c>
      <c r="Y32">
        <v>0.108159032880685</v>
      </c>
      <c r="Z32">
        <v>0.10799332192798899</v>
      </c>
      <c r="AA32">
        <v>0.107479410035049</v>
      </c>
      <c r="AB32">
        <v>0.107344189000509</v>
      </c>
      <c r="AC32">
        <v>0.10742875544090801</v>
      </c>
      <c r="AD32">
        <v>0.108091208603272</v>
      </c>
      <c r="AE32">
        <v>0.108761230765075</v>
      </c>
      <c r="AF32">
        <v>0.10932830894010501</v>
      </c>
      <c r="AG32">
        <v>0.110905835332837</v>
      </c>
      <c r="AH32">
        <v>0.112596273311768</v>
      </c>
      <c r="AI32">
        <v>0.114348050702523</v>
      </c>
      <c r="AJ32">
        <v>0.11592428452261</v>
      </c>
      <c r="AK32">
        <v>0.117620827804692</v>
      </c>
      <c r="AL32">
        <v>0.11934954748055</v>
      </c>
      <c r="AM32">
        <v>0.121092124411804</v>
      </c>
      <c r="AN32">
        <v>0.122842012312445</v>
      </c>
      <c r="AO32">
        <v>0.124698475531606</v>
      </c>
      <c r="AP32">
        <v>0.12661678502982299</v>
      </c>
      <c r="AQ32">
        <v>0.128446089424992</v>
      </c>
      <c r="AR32">
        <v>0.130435907559214</v>
      </c>
      <c r="AS32">
        <v>0.13251694063869901</v>
      </c>
    </row>
    <row r="33" spans="1:45" x14ac:dyDescent="0.3">
      <c r="A33" t="s">
        <v>832</v>
      </c>
      <c r="B33" t="s">
        <v>684</v>
      </c>
      <c r="C33" t="s">
        <v>681</v>
      </c>
      <c r="D33" t="s">
        <v>719</v>
      </c>
      <c r="E33" t="s">
        <v>746</v>
      </c>
      <c r="F33">
        <v>1.6727189508681399</v>
      </c>
      <c r="G33">
        <v>17.5856869864262</v>
      </c>
      <c r="H33">
        <v>14792.4860596331</v>
      </c>
      <c r="I33">
        <v>363879.21908489702</v>
      </c>
      <c r="J33">
        <v>1.52228688005596E-2</v>
      </c>
      <c r="K33">
        <v>1.6205056737913701E-2</v>
      </c>
      <c r="L33">
        <v>7.2595867095515093E-18</v>
      </c>
      <c r="M33">
        <v>-1.70475686900318E-17</v>
      </c>
      <c r="N33">
        <v>1.8248101696372001E-17</v>
      </c>
      <c r="O33">
        <v>1.24855432659388E-17</v>
      </c>
      <c r="P33">
        <v>-1.65236997418106E-17</v>
      </c>
      <c r="Q33">
        <v>-4.65370249003172E-17</v>
      </c>
      <c r="R33">
        <v>2.0241714082658299E-17</v>
      </c>
      <c r="S33">
        <v>5.2386894822120696E-18</v>
      </c>
      <c r="T33">
        <v>-1.1801603250205501E-17</v>
      </c>
      <c r="U33">
        <v>-1.84809323400259E-18</v>
      </c>
      <c r="V33">
        <v>1.6530975699424701E-17</v>
      </c>
      <c r="W33">
        <v>-1.08120730146766E-17</v>
      </c>
      <c r="X33">
        <v>3.0267983675003099E-18</v>
      </c>
      <c r="Y33">
        <v>2.6193447411060298E-18</v>
      </c>
      <c r="Z33">
        <v>-3.8271537050604799E-17</v>
      </c>
      <c r="AA33">
        <v>2.7203694311748002E-5</v>
      </c>
      <c r="AB33">
        <v>5.3247184028794902E-5</v>
      </c>
      <c r="AC33">
        <v>7.5738437505690502E-5</v>
      </c>
      <c r="AD33">
        <v>9.3630481879779795E-5</v>
      </c>
      <c r="AE33">
        <v>1.1140038495226901E-4</v>
      </c>
      <c r="AF33">
        <v>1.2887732914880099E-4</v>
      </c>
      <c r="AG33">
        <v>1.6453233422527501E-4</v>
      </c>
      <c r="AH33">
        <v>1.9903687990275101E-4</v>
      </c>
      <c r="AI33">
        <v>2.3271535369506299E-4</v>
      </c>
      <c r="AJ33">
        <v>2.6449489006629898E-4</v>
      </c>
      <c r="AK33">
        <v>2.9530811807640698E-4</v>
      </c>
      <c r="AL33">
        <v>3.2501619915713698E-4</v>
      </c>
      <c r="AM33">
        <v>3.5365431565614999E-4</v>
      </c>
      <c r="AN33">
        <v>3.8132548382419898E-4</v>
      </c>
      <c r="AO33">
        <v>4.08346976305348E-4</v>
      </c>
      <c r="AP33">
        <v>4.3471306647011499E-4</v>
      </c>
      <c r="AQ33">
        <v>4.5929980962963399E-4</v>
      </c>
      <c r="AR33">
        <v>4.8257943694675099E-4</v>
      </c>
      <c r="AS33">
        <v>5.0539422669180697E-4</v>
      </c>
    </row>
    <row r="34" spans="1:45" x14ac:dyDescent="0.3">
      <c r="A34" t="s">
        <v>832</v>
      </c>
      <c r="B34" t="s">
        <v>682</v>
      </c>
      <c r="C34" t="s">
        <v>681</v>
      </c>
      <c r="D34" t="s">
        <v>719</v>
      </c>
      <c r="E34" t="s">
        <v>746</v>
      </c>
      <c r="F34">
        <v>1.6727189508681399</v>
      </c>
      <c r="G34">
        <v>17.5856869864262</v>
      </c>
      <c r="H34">
        <v>14792.4860596331</v>
      </c>
      <c r="I34">
        <v>363879.21908489702</v>
      </c>
      <c r="J34">
        <v>1.5232201853282199E-2</v>
      </c>
      <c r="K34">
        <v>1.6224420787190299E-2</v>
      </c>
      <c r="L34">
        <v>2.74212652584538E-17</v>
      </c>
      <c r="M34">
        <v>6.2063918448984602E-18</v>
      </c>
      <c r="N34">
        <v>6.0099409893155099E-18</v>
      </c>
      <c r="O34">
        <v>3.5743141779676098E-17</v>
      </c>
      <c r="P34">
        <v>-1.25874066725373E-18</v>
      </c>
      <c r="Q34">
        <v>-2.7786882128566499E-17</v>
      </c>
      <c r="R34">
        <v>1.7054844647645999E-17</v>
      </c>
      <c r="S34">
        <v>-8.6656655184924596E-18</v>
      </c>
      <c r="T34">
        <v>4.7439243644475903E-18</v>
      </c>
      <c r="U34">
        <v>-1.18743628263474E-17</v>
      </c>
      <c r="V34">
        <v>-1.04482751339674E-17</v>
      </c>
      <c r="W34">
        <v>1.7753336578607599E-17</v>
      </c>
      <c r="X34">
        <v>-5.8207660913467397E-18</v>
      </c>
      <c r="Y34">
        <v>1.0433723218739E-17</v>
      </c>
      <c r="Z34">
        <v>-9.1968104243278495E-18</v>
      </c>
      <c r="AA34">
        <v>1.9600746456074E-5</v>
      </c>
      <c r="AB34">
        <v>3.7787722296855501E-5</v>
      </c>
      <c r="AC34">
        <v>5.2886386381806698E-5</v>
      </c>
      <c r="AD34">
        <v>6.4342254453060701E-5</v>
      </c>
      <c r="AE34">
        <v>7.5442564876604802E-5</v>
      </c>
      <c r="AF34">
        <v>8.6124847643619497E-5</v>
      </c>
      <c r="AG34">
        <v>1.10515020429394E-4</v>
      </c>
      <c r="AH34">
        <v>1.34088992452868E-4</v>
      </c>
      <c r="AI34">
        <v>1.5702065005811499E-4</v>
      </c>
      <c r="AJ34">
        <v>1.7853372103906299E-4</v>
      </c>
      <c r="AK34">
        <v>1.9935452285534401E-4</v>
      </c>
      <c r="AL34">
        <v>2.1937213382640201E-4</v>
      </c>
      <c r="AM34">
        <v>2.3862415561740901E-4</v>
      </c>
      <c r="AN34">
        <v>2.5718999783048399E-4</v>
      </c>
      <c r="AO34">
        <v>2.7527256247871499E-4</v>
      </c>
      <c r="AP34">
        <v>2.9286409832815399E-4</v>
      </c>
      <c r="AQ34">
        <v>3.0919615571784202E-4</v>
      </c>
      <c r="AR34">
        <v>3.2466865859746201E-4</v>
      </c>
      <c r="AS34">
        <v>3.3978154027518201E-4</v>
      </c>
    </row>
    <row r="35" spans="1:45" x14ac:dyDescent="0.3">
      <c r="A35" t="s">
        <v>831</v>
      </c>
      <c r="B35" t="s">
        <v>686</v>
      </c>
      <c r="C35" t="s">
        <v>681</v>
      </c>
      <c r="D35" t="s">
        <v>719</v>
      </c>
      <c r="E35" t="s">
        <v>22</v>
      </c>
      <c r="F35">
        <v>-26.264049133645901</v>
      </c>
      <c r="G35">
        <v>999</v>
      </c>
      <c r="H35">
        <v>475.937814585605</v>
      </c>
      <c r="I35">
        <v>11707.557445448299</v>
      </c>
      <c r="J35">
        <v>1.6997072700000001E-2</v>
      </c>
      <c r="K35">
        <v>1.6789534799999999E-2</v>
      </c>
      <c r="L35">
        <v>1.6415748160014201E-2</v>
      </c>
      <c r="M35">
        <v>1.6050723877983199E-2</v>
      </c>
      <c r="N35">
        <v>1.5634331772947999E-2</v>
      </c>
      <c r="O35">
        <v>1.5300191426475099E-2</v>
      </c>
      <c r="P35">
        <v>1.49143074938643E-2</v>
      </c>
      <c r="Q35">
        <v>1.4597436136620401E-2</v>
      </c>
      <c r="R35">
        <v>1.4323737594843599E-2</v>
      </c>
      <c r="S35">
        <v>1.40855282114922E-2</v>
      </c>
      <c r="T35">
        <v>1.3801246255147901E-2</v>
      </c>
      <c r="U35">
        <v>1.35421574085842E-2</v>
      </c>
      <c r="V35">
        <v>1.33261130960652E-2</v>
      </c>
      <c r="W35">
        <v>1.3138393757535199E-2</v>
      </c>
      <c r="X35">
        <v>1.3001617950020999E-2</v>
      </c>
      <c r="Y35">
        <v>1.2856922671901701E-2</v>
      </c>
      <c r="Z35">
        <v>1.26988252467835E-2</v>
      </c>
      <c r="AA35">
        <v>1.2499616636162499E-2</v>
      </c>
      <c r="AB35">
        <v>1.2344048338424601E-2</v>
      </c>
      <c r="AC35">
        <v>1.21802474839689E-2</v>
      </c>
      <c r="AD35">
        <v>1.2040225808490001E-2</v>
      </c>
      <c r="AE35">
        <v>1.1909890676133E-2</v>
      </c>
      <c r="AF35">
        <v>1.1758127164559999E-2</v>
      </c>
      <c r="AG35">
        <v>1.1622495586427599E-2</v>
      </c>
      <c r="AH35">
        <v>1.14971240960674E-2</v>
      </c>
      <c r="AI35">
        <v>1.13824876159342E-2</v>
      </c>
      <c r="AJ35">
        <v>1.12537249056208E-2</v>
      </c>
      <c r="AK35">
        <v>1.1132426140688E-2</v>
      </c>
      <c r="AL35">
        <v>1.1014817974925799E-2</v>
      </c>
      <c r="AM35">
        <v>1.09019191828316E-2</v>
      </c>
      <c r="AN35">
        <v>1.07889471269321E-2</v>
      </c>
      <c r="AO35">
        <v>1.0681308640024201E-2</v>
      </c>
      <c r="AP35">
        <v>1.0578809997944E-2</v>
      </c>
      <c r="AQ35">
        <v>1.0471071103501499E-2</v>
      </c>
      <c r="AR35">
        <v>1.0379238381050201E-2</v>
      </c>
      <c r="AS35">
        <v>1.0280477713879599E-2</v>
      </c>
    </row>
    <row r="36" spans="1:45" x14ac:dyDescent="0.3">
      <c r="A36" t="s">
        <v>831</v>
      </c>
      <c r="B36" t="s">
        <v>685</v>
      </c>
      <c r="C36" t="s">
        <v>681</v>
      </c>
      <c r="D36" t="s">
        <v>719</v>
      </c>
      <c r="E36" t="s">
        <v>22</v>
      </c>
      <c r="F36">
        <v>-26.264049133645901</v>
      </c>
      <c r="G36">
        <v>999</v>
      </c>
      <c r="H36">
        <v>475.937814585605</v>
      </c>
      <c r="I36">
        <v>11707.557445448299</v>
      </c>
      <c r="J36">
        <v>1.6997072700000001E-2</v>
      </c>
      <c r="K36">
        <v>1.6789534799999999E-2</v>
      </c>
      <c r="L36">
        <v>1.51739496762219E-2</v>
      </c>
      <c r="M36">
        <v>1.3792812398498199E-2</v>
      </c>
      <c r="N36">
        <v>1.24966087339499E-2</v>
      </c>
      <c r="O36">
        <v>1.1410783399806E-2</v>
      </c>
      <c r="P36">
        <v>1.0390415300654E-2</v>
      </c>
      <c r="Q36">
        <v>9.4923713656099203E-3</v>
      </c>
      <c r="R36">
        <v>8.6853166603204305E-3</v>
      </c>
      <c r="S36">
        <v>7.97030287795065E-3</v>
      </c>
      <c r="T36">
        <v>7.2861186775919698E-3</v>
      </c>
      <c r="U36">
        <v>6.6741569139366101E-3</v>
      </c>
      <c r="V36">
        <v>6.1190950220598303E-3</v>
      </c>
      <c r="W36">
        <v>5.7191677386357097E-3</v>
      </c>
      <c r="X36">
        <v>5.6261109120182302E-3</v>
      </c>
      <c r="Y36">
        <v>5.5329827688132298E-3</v>
      </c>
      <c r="Z36">
        <v>5.4354948797184699E-3</v>
      </c>
      <c r="AA36">
        <v>5.3196464766434998E-3</v>
      </c>
      <c r="AB36">
        <v>5.2281120415432602E-3</v>
      </c>
      <c r="AC36">
        <v>5.1456814149931796E-3</v>
      </c>
      <c r="AD36">
        <v>5.1046356400950999E-3</v>
      </c>
      <c r="AE36">
        <v>5.0673938312370903E-3</v>
      </c>
      <c r="AF36">
        <v>5.0208925420274003E-3</v>
      </c>
      <c r="AG36">
        <v>4.9832042413014803E-3</v>
      </c>
      <c r="AH36">
        <v>4.9677187185071404E-3</v>
      </c>
      <c r="AI36">
        <v>4.9517724035470102E-3</v>
      </c>
      <c r="AJ36">
        <v>4.9300481989869201E-3</v>
      </c>
      <c r="AK36">
        <v>4.9040629709575798E-3</v>
      </c>
      <c r="AL36">
        <v>4.88213421763931E-3</v>
      </c>
      <c r="AM36">
        <v>4.8619442244915798E-3</v>
      </c>
      <c r="AN36">
        <v>4.8398553672780904E-3</v>
      </c>
      <c r="AO36">
        <v>4.8177137729212404E-3</v>
      </c>
      <c r="AP36">
        <v>4.7966744899042898E-3</v>
      </c>
      <c r="AQ36">
        <v>4.7721288085881301E-3</v>
      </c>
      <c r="AR36">
        <v>4.7548649902157802E-3</v>
      </c>
      <c r="AS36">
        <v>4.7338214810096297E-3</v>
      </c>
    </row>
    <row r="37" spans="1:45" x14ac:dyDescent="0.3">
      <c r="A37" t="s">
        <v>831</v>
      </c>
      <c r="B37" t="s">
        <v>684</v>
      </c>
      <c r="C37" t="s">
        <v>681</v>
      </c>
      <c r="D37" t="s">
        <v>719</v>
      </c>
      <c r="E37" t="s">
        <v>22</v>
      </c>
      <c r="F37">
        <v>-26.264049133645901</v>
      </c>
      <c r="G37">
        <v>999</v>
      </c>
      <c r="H37">
        <v>999</v>
      </c>
      <c r="I37">
        <v>999</v>
      </c>
      <c r="J37">
        <v>2.83284545E-3</v>
      </c>
      <c r="K37">
        <v>-1.80443748831749E-18</v>
      </c>
      <c r="L37">
        <v>-2.6229827199131299E-18</v>
      </c>
      <c r="M37">
        <v>5.1659299060702295E-19</v>
      </c>
      <c r="N37">
        <v>3.3542164601385598E-18</v>
      </c>
      <c r="O37">
        <v>-2.6702764444053199E-18</v>
      </c>
      <c r="P37">
        <v>1.9208528101444201E-18</v>
      </c>
      <c r="Q37">
        <v>2.6702764444053199E-18</v>
      </c>
      <c r="R37">
        <v>2.4447217583656299E-18</v>
      </c>
      <c r="S37">
        <v>-1.74622982740402E-19</v>
      </c>
      <c r="T37">
        <v>-2.1100277081131899E-18</v>
      </c>
      <c r="U37">
        <v>1.04773789644241E-18</v>
      </c>
      <c r="V37">
        <v>2.6484485715627699E-18</v>
      </c>
      <c r="W37">
        <v>8.8766682893037801E-19</v>
      </c>
      <c r="X37">
        <v>2.895831130445E-18</v>
      </c>
      <c r="Y37">
        <v>-6.1118043959140795E-19</v>
      </c>
      <c r="Z37">
        <v>-6.0390448197722404E-18</v>
      </c>
      <c r="AA37">
        <v>1.3969838619232201E-18</v>
      </c>
      <c r="AB37">
        <v>-2.7648638933897001E-19</v>
      </c>
      <c r="AC37">
        <v>-8.2509359344840101E-18</v>
      </c>
      <c r="AD37">
        <v>-3.27418092638254E-18</v>
      </c>
      <c r="AE37">
        <v>-2.7066562324762302E-18</v>
      </c>
      <c r="AF37">
        <v>7.8289303928613705E-18</v>
      </c>
      <c r="AG37">
        <v>-1.6298145055770901E-18</v>
      </c>
      <c r="AH37">
        <v>1.33877620100975E-18</v>
      </c>
      <c r="AI37">
        <v>-3.7252902984619097E-18</v>
      </c>
      <c r="AJ37">
        <v>-6.8685039877891501E-18</v>
      </c>
      <c r="AK37">
        <v>-8.4401108324527697E-19</v>
      </c>
      <c r="AL37">
        <v>7.21774995326996E-18</v>
      </c>
      <c r="AM37">
        <v>5.4715201258659398E-18</v>
      </c>
      <c r="AN37">
        <v>5.5006239563226703E-18</v>
      </c>
      <c r="AO37">
        <v>1.2660166248679199E-18</v>
      </c>
      <c r="AP37">
        <v>9.3132257461547896E-19</v>
      </c>
      <c r="AQ37">
        <v>8.1490725278854397E-19</v>
      </c>
      <c r="AR37">
        <v>-9.6042640507221196E-18</v>
      </c>
      <c r="AS37">
        <v>6.83940015733242E-19</v>
      </c>
    </row>
    <row r="38" spans="1:45" x14ac:dyDescent="0.3">
      <c r="A38" t="s">
        <v>831</v>
      </c>
      <c r="B38" t="s">
        <v>682</v>
      </c>
      <c r="C38" t="s">
        <v>681</v>
      </c>
      <c r="D38" t="s">
        <v>719</v>
      </c>
      <c r="E38" t="s">
        <v>22</v>
      </c>
      <c r="F38">
        <v>-26.264049133645901</v>
      </c>
      <c r="G38">
        <v>999</v>
      </c>
      <c r="H38">
        <v>999</v>
      </c>
      <c r="I38">
        <v>999</v>
      </c>
      <c r="J38">
        <v>2.83284545E-3</v>
      </c>
      <c r="K38">
        <v>-1.80443748831749E-18</v>
      </c>
      <c r="L38">
        <v>3.1286617740988699E-19</v>
      </c>
      <c r="M38">
        <v>-5.6315911933779703E-18</v>
      </c>
      <c r="N38">
        <v>4.5110937207937202E-19</v>
      </c>
      <c r="O38">
        <v>5.8207660913467399E-20</v>
      </c>
      <c r="P38">
        <v>-2.69574229605496E-18</v>
      </c>
      <c r="Q38">
        <v>6.2573235481977503E-19</v>
      </c>
      <c r="R38">
        <v>-2.2919266484677799E-18</v>
      </c>
      <c r="S38">
        <v>1.0986695997416999E-18</v>
      </c>
      <c r="T38">
        <v>1.80443748831749E-18</v>
      </c>
      <c r="U38">
        <v>-9.5315044745802895E-19</v>
      </c>
      <c r="V38">
        <v>-1.6298145055770901E-18</v>
      </c>
      <c r="W38">
        <v>-5.26051735505462E-18</v>
      </c>
      <c r="X38">
        <v>-6.4028427004814201E-19</v>
      </c>
      <c r="Y38">
        <v>1.7862475942820301E-18</v>
      </c>
      <c r="Z38">
        <v>2.9722286853939301E-18</v>
      </c>
      <c r="AA38">
        <v>9.4587448984384505E-20</v>
      </c>
      <c r="AB38">
        <v>1.7571437638252999E-18</v>
      </c>
      <c r="AC38">
        <v>1.70621206052601E-18</v>
      </c>
      <c r="AD38">
        <v>2.1573214326053899E-18</v>
      </c>
      <c r="AE38">
        <v>6.4756022766232502E-19</v>
      </c>
      <c r="AF38">
        <v>-9.0585672296583698E-19</v>
      </c>
      <c r="AG38">
        <v>-1.7498678062111098E-18</v>
      </c>
      <c r="AH38">
        <v>1.3205863069742899E-18</v>
      </c>
      <c r="AI38">
        <v>-1.02591002359986E-18</v>
      </c>
      <c r="AJ38">
        <v>8.2218321040272698E-19</v>
      </c>
      <c r="AK38">
        <v>2.4410837795585398E-18</v>
      </c>
      <c r="AL38">
        <v>1.3315002433955699E-18</v>
      </c>
      <c r="AM38">
        <v>-2.3283064365386998E-19</v>
      </c>
      <c r="AN38">
        <v>1.6443664208054499E-18</v>
      </c>
      <c r="AO38">
        <v>3.9653968997299699E-19</v>
      </c>
      <c r="AP38">
        <v>-4.7293724492192297E-19</v>
      </c>
      <c r="AQ38">
        <v>-1.2878444977104699E-18</v>
      </c>
      <c r="AR38">
        <v>6.62112142890692E-19</v>
      </c>
      <c r="AS38">
        <v>-1.0222720447927699E-18</v>
      </c>
    </row>
    <row r="39" spans="1:45" x14ac:dyDescent="0.3">
      <c r="A39" t="s">
        <v>830</v>
      </c>
      <c r="B39" t="s">
        <v>686</v>
      </c>
      <c r="C39" t="s">
        <v>681</v>
      </c>
      <c r="D39" t="s">
        <v>719</v>
      </c>
      <c r="E39" t="s">
        <v>22</v>
      </c>
      <c r="F39">
        <v>-23.8012367941976</v>
      </c>
      <c r="G39">
        <v>999</v>
      </c>
      <c r="H39">
        <v>174.87590160212699</v>
      </c>
      <c r="I39">
        <v>2408.9069833549502</v>
      </c>
      <c r="J39">
        <v>8.1755339499999996E-2</v>
      </c>
      <c r="K39">
        <v>8.4071122799999995E-2</v>
      </c>
      <c r="L39">
        <v>8.5088139500000007E-2</v>
      </c>
      <c r="M39">
        <v>8.6336642500000005E-2</v>
      </c>
      <c r="N39">
        <v>8.7456534200000005E-2</v>
      </c>
      <c r="O39">
        <v>8.8342426099999996E-2</v>
      </c>
      <c r="P39">
        <v>8.8953977700000006E-2</v>
      </c>
      <c r="Q39">
        <v>8.9432380300000003E-2</v>
      </c>
      <c r="R39">
        <v>8.9738845600000006E-2</v>
      </c>
      <c r="S39">
        <v>8.9912776599999994E-2</v>
      </c>
      <c r="T39">
        <v>9.0131241900000006E-2</v>
      </c>
      <c r="U39">
        <v>9.0598574000000001E-2</v>
      </c>
      <c r="V39">
        <v>9.1301864100000005E-2</v>
      </c>
      <c r="W39">
        <v>9.2097228000000003E-2</v>
      </c>
      <c r="X39">
        <v>9.2921589200000002E-2</v>
      </c>
      <c r="Y39">
        <v>9.3782125999999993E-2</v>
      </c>
      <c r="Z39">
        <v>9.4715410099999994E-2</v>
      </c>
      <c r="AA39">
        <v>9.5574083399999996E-2</v>
      </c>
      <c r="AB39">
        <v>9.6380603999999995E-2</v>
      </c>
      <c r="AC39">
        <v>9.7207407300000007E-2</v>
      </c>
      <c r="AD39">
        <v>9.8053280000000007E-2</v>
      </c>
      <c r="AE39">
        <v>9.8876612500000002E-2</v>
      </c>
      <c r="AF39">
        <v>9.9684386900000005E-2</v>
      </c>
      <c r="AG39">
        <v>0.1005448406</v>
      </c>
      <c r="AH39">
        <v>0.1014310075</v>
      </c>
      <c r="AI39">
        <v>0.1023005698</v>
      </c>
      <c r="AJ39">
        <v>0.103193479</v>
      </c>
      <c r="AK39">
        <v>0.10407107779999999</v>
      </c>
      <c r="AL39">
        <v>0.10490496370000001</v>
      </c>
      <c r="AM39">
        <v>0.1057201131</v>
      </c>
      <c r="AN39">
        <v>0.1065230264</v>
      </c>
      <c r="AO39">
        <v>0.1073353289</v>
      </c>
      <c r="AP39">
        <v>0.1081527009</v>
      </c>
      <c r="AQ39">
        <v>0.108931631</v>
      </c>
      <c r="AR39">
        <v>0.1096463543</v>
      </c>
      <c r="AS39">
        <v>0.11037302340000001</v>
      </c>
    </row>
    <row r="40" spans="1:45" x14ac:dyDescent="0.3">
      <c r="A40" t="s">
        <v>830</v>
      </c>
      <c r="B40" t="s">
        <v>685</v>
      </c>
      <c r="C40" t="s">
        <v>681</v>
      </c>
      <c r="D40" t="s">
        <v>719</v>
      </c>
      <c r="E40" t="s">
        <v>22</v>
      </c>
      <c r="F40">
        <v>-23.8012367941976</v>
      </c>
      <c r="G40">
        <v>999</v>
      </c>
      <c r="H40">
        <v>174.87590160212699</v>
      </c>
      <c r="I40">
        <v>2408.9069833549502</v>
      </c>
      <c r="J40">
        <v>8.1755339499999996E-2</v>
      </c>
      <c r="K40">
        <v>8.4071122799999995E-2</v>
      </c>
      <c r="L40">
        <v>8.1446983138338994E-2</v>
      </c>
      <c r="M40">
        <v>7.9294676564764799E-2</v>
      </c>
      <c r="N40">
        <v>7.7031974095216907E-2</v>
      </c>
      <c r="O40">
        <v>7.4653609513779307E-2</v>
      </c>
      <c r="P40">
        <v>7.1939240787345302E-2</v>
      </c>
      <c r="Q40">
        <v>6.91852380397735E-2</v>
      </c>
      <c r="R40">
        <v>6.6425686809697695E-2</v>
      </c>
      <c r="S40">
        <v>6.3849406018533006E-2</v>
      </c>
      <c r="T40">
        <v>6.1288834391475297E-2</v>
      </c>
      <c r="U40">
        <v>5.8994228781480799E-2</v>
      </c>
      <c r="V40">
        <v>5.7778468209072301E-2</v>
      </c>
      <c r="W40">
        <v>5.7975642268962298E-2</v>
      </c>
      <c r="X40">
        <v>5.83513584996437E-2</v>
      </c>
      <c r="Y40">
        <v>5.87053331536714E-2</v>
      </c>
      <c r="Z40">
        <v>5.9044080416722003E-2</v>
      </c>
      <c r="AA40">
        <v>5.91413704001299E-2</v>
      </c>
      <c r="AB40">
        <v>5.9393830246241397E-2</v>
      </c>
      <c r="AC40">
        <v>5.9597974285855199E-2</v>
      </c>
      <c r="AD40">
        <v>5.9912671142417502E-2</v>
      </c>
      <c r="AE40">
        <v>6.0333328473273003E-2</v>
      </c>
      <c r="AF40">
        <v>6.0750609685370799E-2</v>
      </c>
      <c r="AG40">
        <v>6.1225095830583998E-2</v>
      </c>
      <c r="AH40">
        <v>6.1740501516266699E-2</v>
      </c>
      <c r="AI40">
        <v>6.2220190361492199E-2</v>
      </c>
      <c r="AJ40">
        <v>6.2686733899883398E-2</v>
      </c>
      <c r="AK40">
        <v>6.3123770074843905E-2</v>
      </c>
      <c r="AL40">
        <v>6.3544835207725303E-2</v>
      </c>
      <c r="AM40">
        <v>6.3956232606892593E-2</v>
      </c>
      <c r="AN40">
        <v>6.4356737387147506E-2</v>
      </c>
      <c r="AO40">
        <v>6.4775930481328903E-2</v>
      </c>
      <c r="AP40">
        <v>6.5246934613388693E-2</v>
      </c>
      <c r="AQ40">
        <v>6.5657285448221706E-2</v>
      </c>
      <c r="AR40">
        <v>6.6054342554805898E-2</v>
      </c>
      <c r="AS40">
        <v>6.6421809051997696E-2</v>
      </c>
    </row>
    <row r="41" spans="1:45" x14ac:dyDescent="0.3">
      <c r="A41" t="s">
        <v>830</v>
      </c>
      <c r="B41" t="s">
        <v>684</v>
      </c>
      <c r="C41" t="s">
        <v>681</v>
      </c>
      <c r="D41" t="s">
        <v>719</v>
      </c>
      <c r="E41" t="s">
        <v>22</v>
      </c>
      <c r="F41">
        <v>-23.8012367941976</v>
      </c>
      <c r="G41">
        <v>999</v>
      </c>
      <c r="H41">
        <v>999</v>
      </c>
      <c r="I41">
        <v>999</v>
      </c>
      <c r="J41">
        <v>9.6877600000001507E-5</v>
      </c>
      <c r="K41">
        <v>-2.2992026060819601E-18</v>
      </c>
      <c r="L41">
        <v>5.5879354476928703E-18</v>
      </c>
      <c r="M41">
        <v>4.0745362639427198E-19</v>
      </c>
      <c r="N41">
        <v>-1.37370079755783E-17</v>
      </c>
      <c r="O41">
        <v>1.57160684466362E-18</v>
      </c>
      <c r="P41">
        <v>1.7171259969472899E-17</v>
      </c>
      <c r="Q41">
        <v>2.4621840566396699E-17</v>
      </c>
      <c r="R41">
        <v>-7.4505805969238301E-18</v>
      </c>
      <c r="S41">
        <v>2.4214386940002399E-17</v>
      </c>
      <c r="T41">
        <v>5.9371814131736802E-18</v>
      </c>
      <c r="U41">
        <v>-2.7939677238464402E-18</v>
      </c>
      <c r="V41">
        <v>1.37370079755783E-17</v>
      </c>
      <c r="W41">
        <v>1.03609636425972E-17</v>
      </c>
      <c r="X41">
        <v>-2.8172507882118197E-17</v>
      </c>
      <c r="Y41">
        <v>-1.32713466882706E-17</v>
      </c>
      <c r="Z41">
        <v>-2.4214386940002399E-17</v>
      </c>
      <c r="AA41">
        <v>-3.2596290111541801E-18</v>
      </c>
      <c r="AB41">
        <v>3.7252902984619097E-18</v>
      </c>
      <c r="AC41">
        <v>-4.9592927098274197E-17</v>
      </c>
      <c r="AD41">
        <v>-1.8393620848655699E-17</v>
      </c>
      <c r="AE41">
        <v>9.7788870334625303E-18</v>
      </c>
      <c r="AF41">
        <v>-2.8870999813079803E-17</v>
      </c>
      <c r="AG41">
        <v>-5.5879354476928703E-18</v>
      </c>
      <c r="AH41">
        <v>5.1222741603851299E-18</v>
      </c>
      <c r="AI41">
        <v>2.09547579288483E-17</v>
      </c>
      <c r="AJ41">
        <v>-1.02445483207703E-17</v>
      </c>
      <c r="AK41">
        <v>-1.0710209608078E-17</v>
      </c>
      <c r="AL41">
        <v>1.5832483768463101E-17</v>
      </c>
      <c r="AM41">
        <v>1.02445483207703E-17</v>
      </c>
      <c r="AN41">
        <v>7.4505805969238301E-18</v>
      </c>
      <c r="AO41">
        <v>-6.0535967350006099E-18</v>
      </c>
      <c r="AP41">
        <v>4.6566128730773904E-18</v>
      </c>
      <c r="AQ41">
        <v>2.4680048227310201E-17</v>
      </c>
      <c r="AR41">
        <v>1.6298145055770901E-18</v>
      </c>
      <c r="AS41">
        <v>-1.8626451492309602E-17</v>
      </c>
    </row>
    <row r="42" spans="1:45" x14ac:dyDescent="0.3">
      <c r="A42" t="s">
        <v>830</v>
      </c>
      <c r="B42" t="s">
        <v>682</v>
      </c>
      <c r="C42" t="s">
        <v>681</v>
      </c>
      <c r="D42" t="s">
        <v>719</v>
      </c>
      <c r="E42" t="s">
        <v>22</v>
      </c>
      <c r="F42">
        <v>-23.8012367941976</v>
      </c>
      <c r="G42">
        <v>999</v>
      </c>
      <c r="H42">
        <v>999</v>
      </c>
      <c r="I42">
        <v>999</v>
      </c>
      <c r="J42">
        <v>9.6877600000001507E-5</v>
      </c>
      <c r="K42">
        <v>-2.2992026060819601E-18</v>
      </c>
      <c r="L42">
        <v>-2.2293534129858E-17</v>
      </c>
      <c r="M42">
        <v>6.0244929045438801E-18</v>
      </c>
      <c r="N42">
        <v>-1.7578713595867199E-17</v>
      </c>
      <c r="O42">
        <v>-7.21774995326996E-18</v>
      </c>
      <c r="P42">
        <v>-6.4028427004814197E-18</v>
      </c>
      <c r="Q42">
        <v>-3.43425199389458E-18</v>
      </c>
      <c r="R42">
        <v>7.9744495451450299E-18</v>
      </c>
      <c r="S42">
        <v>1.7695128917694099E-17</v>
      </c>
      <c r="T42">
        <v>7.1013346314430195E-18</v>
      </c>
      <c r="U42">
        <v>-1.21071934700012E-17</v>
      </c>
      <c r="V42">
        <v>1.7345882952213299E-17</v>
      </c>
      <c r="W42">
        <v>2.1187588572502101E-17</v>
      </c>
      <c r="X42">
        <v>-8.8475644588470496E-18</v>
      </c>
      <c r="Y42">
        <v>-1.8626451492309598E-18</v>
      </c>
      <c r="Z42">
        <v>-1.0128132998943299E-17</v>
      </c>
      <c r="AA42">
        <v>-4.4237822294235202E-18</v>
      </c>
      <c r="AB42">
        <v>1.1175870895385701E-17</v>
      </c>
      <c r="AC42">
        <v>-2.7939677238464402E-18</v>
      </c>
      <c r="AD42">
        <v>-5.1222741603851299E-18</v>
      </c>
      <c r="AE42">
        <v>-2.28174030780792E-17</v>
      </c>
      <c r="AF42">
        <v>-2.7939677238464402E-18</v>
      </c>
      <c r="AG42">
        <v>6.4028427004814197E-18</v>
      </c>
      <c r="AH42">
        <v>1.0477378964424099E-17</v>
      </c>
      <c r="AI42">
        <v>7.9162418842315705E-18</v>
      </c>
      <c r="AJ42">
        <v>1.5133991837501501E-17</v>
      </c>
      <c r="AK42">
        <v>-1.49011611938477E-17</v>
      </c>
      <c r="AL42">
        <v>9.7788870334625303E-18</v>
      </c>
      <c r="AM42">
        <v>-1.69966369867325E-17</v>
      </c>
      <c r="AN42">
        <v>0</v>
      </c>
      <c r="AO42">
        <v>-7.9162418842315705E-18</v>
      </c>
      <c r="AP42">
        <v>5.8207660913467397E-18</v>
      </c>
      <c r="AQ42">
        <v>-1.7695128917694099E-17</v>
      </c>
      <c r="AR42">
        <v>9.5460563898086601E-18</v>
      </c>
      <c r="AS42">
        <v>-6.0535967350006099E-18</v>
      </c>
    </row>
    <row r="43" spans="1:45" x14ac:dyDescent="0.3">
      <c r="A43" t="s">
        <v>829</v>
      </c>
      <c r="B43" t="s">
        <v>686</v>
      </c>
      <c r="C43" t="s">
        <v>681</v>
      </c>
      <c r="D43" t="s">
        <v>719</v>
      </c>
      <c r="E43" t="s">
        <v>679</v>
      </c>
      <c r="F43">
        <v>999</v>
      </c>
      <c r="G43">
        <v>0</v>
      </c>
      <c r="H43">
        <v>999</v>
      </c>
      <c r="I43">
        <v>999</v>
      </c>
      <c r="J43">
        <v>0.17879536959494999</v>
      </c>
      <c r="K43">
        <v>0.18131853124531</v>
      </c>
      <c r="L43">
        <v>0.16757160330175599</v>
      </c>
      <c r="M43">
        <v>0.18181003617139099</v>
      </c>
      <c r="N43">
        <v>0.16612259691658801</v>
      </c>
      <c r="O43">
        <v>0.173122713116312</v>
      </c>
      <c r="P43">
        <v>0.17235543382712901</v>
      </c>
      <c r="Q43">
        <v>0.17120757345944401</v>
      </c>
      <c r="R43">
        <v>0.16979913072611999</v>
      </c>
      <c r="S43">
        <v>0.16857380324193799</v>
      </c>
      <c r="T43">
        <v>0.16685540048723199</v>
      </c>
      <c r="U43">
        <v>0.165470524291988</v>
      </c>
      <c r="V43">
        <v>0.16460864541735501</v>
      </c>
      <c r="W43">
        <v>0.164078089844655</v>
      </c>
      <c r="X43">
        <v>0.16405743704006601</v>
      </c>
      <c r="Y43">
        <v>0.16391640114868899</v>
      </c>
      <c r="Z43">
        <v>0.163743022828021</v>
      </c>
      <c r="AA43">
        <v>0.163115173190614</v>
      </c>
      <c r="AB43">
        <v>0.162906304461058</v>
      </c>
      <c r="AC43">
        <v>0.16272073505488899</v>
      </c>
      <c r="AD43">
        <v>0.16278166906187999</v>
      </c>
      <c r="AE43">
        <v>0.16290580951452799</v>
      </c>
      <c r="AF43">
        <v>0.16293084418249501</v>
      </c>
      <c r="AG43">
        <v>0.16306555552345101</v>
      </c>
      <c r="AH43">
        <v>0.163358162149112</v>
      </c>
      <c r="AI43">
        <v>0.16373591457269701</v>
      </c>
      <c r="AJ43">
        <v>0.16402273504819201</v>
      </c>
      <c r="AK43">
        <v>0.16444695389045899</v>
      </c>
      <c r="AL43">
        <v>0.164921934167125</v>
      </c>
      <c r="AM43">
        <v>0.16542259864529499</v>
      </c>
      <c r="AN43">
        <v>0.16593883629853701</v>
      </c>
      <c r="AO43">
        <v>0.16657882206341301</v>
      </c>
      <c r="AP43">
        <v>0.167286235826792</v>
      </c>
      <c r="AQ43">
        <v>0.16791485530193101</v>
      </c>
      <c r="AR43">
        <v>0.16870878786594801</v>
      </c>
      <c r="AS43">
        <v>0.16962233137125801</v>
      </c>
    </row>
    <row r="44" spans="1:45" x14ac:dyDescent="0.3">
      <c r="A44" t="s">
        <v>829</v>
      </c>
      <c r="B44" t="s">
        <v>685</v>
      </c>
      <c r="C44" t="s">
        <v>681</v>
      </c>
      <c r="D44" t="s">
        <v>719</v>
      </c>
      <c r="E44" t="s">
        <v>679</v>
      </c>
      <c r="F44">
        <v>999</v>
      </c>
      <c r="G44">
        <v>0</v>
      </c>
      <c r="H44">
        <v>999</v>
      </c>
      <c r="I44">
        <v>999</v>
      </c>
      <c r="J44">
        <v>0.173045926426317</v>
      </c>
      <c r="K44">
        <v>0.171618402098625</v>
      </c>
      <c r="L44">
        <v>0.15474437263358101</v>
      </c>
      <c r="M44">
        <v>0.15870219853373899</v>
      </c>
      <c r="N44">
        <v>0.13844378480703501</v>
      </c>
      <c r="O44">
        <v>0.14419678747546699</v>
      </c>
      <c r="P44">
        <v>0.14092368437585201</v>
      </c>
      <c r="Q44">
        <v>0.138043075871388</v>
      </c>
      <c r="R44">
        <v>0.135549590996414</v>
      </c>
      <c r="S44">
        <v>0.133910485433056</v>
      </c>
      <c r="T44">
        <v>0.13227095488200699</v>
      </c>
      <c r="U44">
        <v>0.131371640190416</v>
      </c>
      <c r="V44">
        <v>0.131367011577665</v>
      </c>
      <c r="W44">
        <v>0.132079194470727</v>
      </c>
      <c r="X44">
        <v>0.13371971564698701</v>
      </c>
      <c r="Y44">
        <v>0.13560836329402901</v>
      </c>
      <c r="Z44">
        <v>0.137784497826452</v>
      </c>
      <c r="AA44">
        <v>0.13980835746062201</v>
      </c>
      <c r="AB44">
        <v>0.142636246404545</v>
      </c>
      <c r="AC44">
        <v>0.14570049887882799</v>
      </c>
      <c r="AD44">
        <v>0.14929634478509801</v>
      </c>
      <c r="AE44">
        <v>0.15342709502881799</v>
      </c>
      <c r="AF44">
        <v>0.15742689399512699</v>
      </c>
      <c r="AG44">
        <v>0.161515108066725</v>
      </c>
      <c r="AH44">
        <v>0.165752283937048</v>
      </c>
      <c r="AI44">
        <v>0.17006559965515899</v>
      </c>
      <c r="AJ44">
        <v>0.174293149900931</v>
      </c>
      <c r="AK44">
        <v>0.17868358471559201</v>
      </c>
      <c r="AL44">
        <v>0.18307352903475699</v>
      </c>
      <c r="AM44">
        <v>0.187502354620945</v>
      </c>
      <c r="AN44">
        <v>0.19192165371978301</v>
      </c>
      <c r="AO44">
        <v>0.19644865556029401</v>
      </c>
      <c r="AP44">
        <v>0.201015306418658</v>
      </c>
      <c r="AQ44">
        <v>0.205499948502813</v>
      </c>
      <c r="AR44">
        <v>0.21014474757297999</v>
      </c>
      <c r="AS44">
        <v>0.21492714813060801</v>
      </c>
    </row>
    <row r="45" spans="1:45" x14ac:dyDescent="0.3">
      <c r="A45" t="s">
        <v>829</v>
      </c>
      <c r="B45" t="s">
        <v>684</v>
      </c>
      <c r="C45" t="s">
        <v>681</v>
      </c>
      <c r="D45" t="s">
        <v>719</v>
      </c>
      <c r="E45" t="s">
        <v>679</v>
      </c>
      <c r="F45">
        <v>999</v>
      </c>
      <c r="G45">
        <v>0</v>
      </c>
      <c r="H45">
        <v>0</v>
      </c>
      <c r="I45">
        <v>0</v>
      </c>
      <c r="J45">
        <v>0.159653480060125</v>
      </c>
      <c r="K45">
        <v>0.16344758321313499</v>
      </c>
      <c r="L45">
        <v>0.145589259309435</v>
      </c>
      <c r="M45">
        <v>0.15430451886831101</v>
      </c>
      <c r="N45">
        <v>0.13922455240242501</v>
      </c>
      <c r="O45">
        <v>0.14335461644233</v>
      </c>
      <c r="P45">
        <v>0.141179046654653</v>
      </c>
      <c r="Q45">
        <v>0.138987499634904</v>
      </c>
      <c r="R45">
        <v>0.136803733394702</v>
      </c>
      <c r="S45">
        <v>0.126315240651558</v>
      </c>
      <c r="T45">
        <v>0.116548979259746</v>
      </c>
      <c r="U45">
        <v>0.10788001307866001</v>
      </c>
      <c r="V45">
        <v>0.100300413562896</v>
      </c>
      <c r="W45">
        <v>9.3560684591909193E-2</v>
      </c>
      <c r="X45">
        <v>8.7662795441506597E-2</v>
      </c>
      <c r="Y45">
        <v>8.1356797555964297E-2</v>
      </c>
      <c r="Z45">
        <v>7.55696627186868E-2</v>
      </c>
      <c r="AA45">
        <v>7.0016308903841001E-2</v>
      </c>
      <c r="AB45">
        <v>6.5282730938127406E-2</v>
      </c>
      <c r="AC45">
        <v>6.0995865092097597E-2</v>
      </c>
      <c r="AD45">
        <v>5.7051942480176199E-2</v>
      </c>
      <c r="AE45">
        <v>5.4966305537609901E-2</v>
      </c>
      <c r="AF45">
        <v>5.2747121995889198E-2</v>
      </c>
      <c r="AG45">
        <v>5.0695095142815803E-2</v>
      </c>
      <c r="AH45">
        <v>4.6641277672591797E-2</v>
      </c>
      <c r="AI45">
        <v>4.2525731521300902E-2</v>
      </c>
      <c r="AJ45">
        <v>3.8888281767920002E-2</v>
      </c>
      <c r="AK45">
        <v>3.5448680594572603E-2</v>
      </c>
      <c r="AL45">
        <v>3.2530883029902001E-2</v>
      </c>
      <c r="AM45">
        <v>2.9710519392669402E-2</v>
      </c>
      <c r="AN45">
        <v>2.71680082661463E-2</v>
      </c>
      <c r="AO45">
        <v>2.4812714873282699E-2</v>
      </c>
      <c r="AP45">
        <v>2.26781902252308E-2</v>
      </c>
      <c r="AQ45">
        <v>2.0856079531083701E-2</v>
      </c>
      <c r="AR45">
        <v>1.9316635843769799E-2</v>
      </c>
      <c r="AS45">
        <v>1.8412484972559599E-2</v>
      </c>
    </row>
    <row r="46" spans="1:45" x14ac:dyDescent="0.3">
      <c r="A46" t="s">
        <v>829</v>
      </c>
      <c r="B46" t="s">
        <v>682</v>
      </c>
      <c r="C46" t="s">
        <v>681</v>
      </c>
      <c r="D46" t="s">
        <v>719</v>
      </c>
      <c r="E46" t="s">
        <v>679</v>
      </c>
      <c r="F46">
        <v>999</v>
      </c>
      <c r="G46">
        <v>0</v>
      </c>
      <c r="H46">
        <v>0</v>
      </c>
      <c r="I46">
        <v>0</v>
      </c>
      <c r="J46">
        <v>0.155883839392817</v>
      </c>
      <c r="K46">
        <v>0.15651927982483901</v>
      </c>
      <c r="L46">
        <v>0.135323797213518</v>
      </c>
      <c r="M46">
        <v>0.135328903808315</v>
      </c>
      <c r="N46">
        <v>0.116214525328299</v>
      </c>
      <c r="O46">
        <v>0.118824717064273</v>
      </c>
      <c r="P46">
        <v>0.114514724827878</v>
      </c>
      <c r="Q46">
        <v>0.11087386075004201</v>
      </c>
      <c r="R46">
        <v>0.10777450067807499</v>
      </c>
      <c r="S46">
        <v>9.9038610865618895E-2</v>
      </c>
      <c r="T46">
        <v>9.1200682579488407E-2</v>
      </c>
      <c r="U46">
        <v>8.4486063681765394E-2</v>
      </c>
      <c r="V46">
        <v>7.8846659569415306E-2</v>
      </c>
      <c r="W46">
        <v>7.4037061479844596E-2</v>
      </c>
      <c r="X46">
        <v>7.0048154077125502E-2</v>
      </c>
      <c r="Y46">
        <v>6.5536992572115302E-2</v>
      </c>
      <c r="Z46">
        <v>6.1465254197345498E-2</v>
      </c>
      <c r="AA46">
        <v>5.75683146749634E-2</v>
      </c>
      <c r="AB46">
        <v>5.4435475569980699E-2</v>
      </c>
      <c r="AC46">
        <v>5.1674197011820099E-2</v>
      </c>
      <c r="AD46">
        <v>4.9140695950366797E-2</v>
      </c>
      <c r="AE46">
        <v>4.8166741345033598E-2</v>
      </c>
      <c r="AF46">
        <v>4.7004422529105999E-2</v>
      </c>
      <c r="AG46">
        <v>4.5969438346370302E-2</v>
      </c>
      <c r="AH46">
        <v>4.2875422257229699E-2</v>
      </c>
      <c r="AI46">
        <v>3.9763141637324702E-2</v>
      </c>
      <c r="AJ46">
        <v>3.6953758234979803E-2</v>
      </c>
      <c r="AK46">
        <v>3.4150326534474203E-2</v>
      </c>
      <c r="AL46">
        <v>3.1711100045465797E-2</v>
      </c>
      <c r="AM46">
        <v>2.93582577081235E-2</v>
      </c>
      <c r="AN46">
        <v>2.7273477821916099E-2</v>
      </c>
      <c r="AO46">
        <v>2.53329704043391E-2</v>
      </c>
      <c r="AP46">
        <v>2.3560000236975201E-2</v>
      </c>
      <c r="AQ46">
        <v>2.2071067034861801E-2</v>
      </c>
      <c r="AR46">
        <v>2.0798461000504E-2</v>
      </c>
      <c r="AS46">
        <v>2.02952258662219E-2</v>
      </c>
    </row>
    <row r="47" spans="1:45" x14ac:dyDescent="0.3">
      <c r="A47" t="s">
        <v>828</v>
      </c>
      <c r="B47" t="s">
        <v>686</v>
      </c>
      <c r="C47" t="s">
        <v>681</v>
      </c>
      <c r="D47" t="s">
        <v>719</v>
      </c>
      <c r="E47" t="s">
        <v>679</v>
      </c>
      <c r="F47">
        <v>-6.6051468191761797</v>
      </c>
      <c r="G47">
        <v>999</v>
      </c>
      <c r="H47">
        <v>1018.83688411204</v>
      </c>
      <c r="I47">
        <v>8487.2689411598094</v>
      </c>
      <c r="J47">
        <v>3.8617343053600102E-3</v>
      </c>
      <c r="K47">
        <v>-9.9897052121999995E-4</v>
      </c>
      <c r="L47">
        <v>-1.24662361440657E-3</v>
      </c>
      <c r="M47">
        <v>7.3127196942963301E-3</v>
      </c>
      <c r="N47">
        <v>1.0116724001820799E-2</v>
      </c>
      <c r="O47">
        <v>5.90383897710039E-3</v>
      </c>
      <c r="P47">
        <v>5.8677723838080004E-3</v>
      </c>
      <c r="Q47">
        <v>5.88436714376656E-3</v>
      </c>
      <c r="R47">
        <v>5.9478704990435097E-3</v>
      </c>
      <c r="S47">
        <v>5.8980962529127396E-3</v>
      </c>
      <c r="T47">
        <v>5.96929078858543E-3</v>
      </c>
      <c r="U47">
        <v>6.0369807943211999E-3</v>
      </c>
      <c r="V47">
        <v>6.1038232198325501E-3</v>
      </c>
      <c r="W47">
        <v>6.1186058668820202E-3</v>
      </c>
      <c r="X47">
        <v>6.0517899419824496E-3</v>
      </c>
      <c r="Y47">
        <v>6.0026836139184204E-3</v>
      </c>
      <c r="Z47">
        <v>5.9781330250093098E-3</v>
      </c>
      <c r="AA47">
        <v>6.0355378501073496E-3</v>
      </c>
      <c r="AB47">
        <v>5.9662484253406103E-3</v>
      </c>
      <c r="AC47">
        <v>5.9149084097953903E-3</v>
      </c>
      <c r="AD47">
        <v>5.8268419088913599E-3</v>
      </c>
      <c r="AE47">
        <v>5.7181349650709101E-3</v>
      </c>
      <c r="AF47">
        <v>5.6436754889333304E-3</v>
      </c>
      <c r="AG47">
        <v>5.57328245020063E-3</v>
      </c>
      <c r="AH47">
        <v>5.48351570773839E-3</v>
      </c>
      <c r="AI47">
        <v>5.3590255593716704E-3</v>
      </c>
      <c r="AJ47">
        <v>5.25914909269601E-3</v>
      </c>
      <c r="AK47">
        <v>5.1423376809179499E-3</v>
      </c>
      <c r="AL47">
        <v>5.0065103598945096E-3</v>
      </c>
      <c r="AM47">
        <v>4.8693691878660796E-3</v>
      </c>
      <c r="AN47">
        <v>4.7281661575800599E-3</v>
      </c>
      <c r="AO47">
        <v>4.5644618311271703E-3</v>
      </c>
      <c r="AP47">
        <v>4.3820382484475199E-3</v>
      </c>
      <c r="AQ47">
        <v>4.2258942570083903E-3</v>
      </c>
      <c r="AR47">
        <v>4.0170144845872698E-3</v>
      </c>
      <c r="AS47">
        <v>3.79524761900838E-3</v>
      </c>
    </row>
    <row r="48" spans="1:45" x14ac:dyDescent="0.3">
      <c r="A48" t="s">
        <v>828</v>
      </c>
      <c r="B48" t="s">
        <v>685</v>
      </c>
      <c r="C48" t="s">
        <v>681</v>
      </c>
      <c r="D48" t="s">
        <v>719</v>
      </c>
      <c r="E48" t="s">
        <v>679</v>
      </c>
      <c r="F48">
        <v>-6.6051468191761797</v>
      </c>
      <c r="G48">
        <v>999</v>
      </c>
      <c r="H48">
        <v>1018.83688411204</v>
      </c>
      <c r="I48">
        <v>8487.2689411598094</v>
      </c>
      <c r="J48">
        <v>3.6945941656843402E-3</v>
      </c>
      <c r="K48">
        <v>-9.2001099131642301E-4</v>
      </c>
      <c r="L48">
        <v>-1.0810036125266801E-3</v>
      </c>
      <c r="M48">
        <v>6.0648439246037402E-3</v>
      </c>
      <c r="N48">
        <v>7.9920838138723103E-3</v>
      </c>
      <c r="O48">
        <v>4.4623154001878504E-3</v>
      </c>
      <c r="P48">
        <v>4.2171503801573798E-3</v>
      </c>
      <c r="Q48">
        <v>4.01826589661627E-3</v>
      </c>
      <c r="R48">
        <v>3.8564686794857099E-3</v>
      </c>
      <c r="S48">
        <v>3.6294806819953799E-3</v>
      </c>
      <c r="T48">
        <v>3.4824512716137802E-3</v>
      </c>
      <c r="U48">
        <v>3.3372470022993801E-3</v>
      </c>
      <c r="V48">
        <v>3.1979031268263699E-3</v>
      </c>
      <c r="W48">
        <v>3.0381491786314399E-3</v>
      </c>
      <c r="X48">
        <v>2.8477754926760999E-3</v>
      </c>
      <c r="Y48">
        <v>2.6771131602534599E-3</v>
      </c>
      <c r="Z48">
        <v>2.5271578604150698E-3</v>
      </c>
      <c r="AA48">
        <v>2.4199415014114702E-3</v>
      </c>
      <c r="AB48">
        <v>2.26931626041735E-3</v>
      </c>
      <c r="AC48">
        <v>2.1354979446207398E-3</v>
      </c>
      <c r="AD48">
        <v>1.9985727006220999E-3</v>
      </c>
      <c r="AE48">
        <v>1.8651610965818399E-3</v>
      </c>
      <c r="AF48">
        <v>1.7531166663707399E-3</v>
      </c>
      <c r="AG48">
        <v>1.65147754597619E-3</v>
      </c>
      <c r="AH48">
        <v>1.5533993453789E-3</v>
      </c>
      <c r="AI48">
        <v>1.45464598339637E-3</v>
      </c>
      <c r="AJ48">
        <v>1.37211524156555E-3</v>
      </c>
      <c r="AK48">
        <v>1.2934271340809299E-3</v>
      </c>
      <c r="AL48">
        <v>1.2181246355006301E-3</v>
      </c>
      <c r="AM48">
        <v>1.1507061572822201E-3</v>
      </c>
      <c r="AN48">
        <v>1.08989491446736E-3</v>
      </c>
      <c r="AO48">
        <v>1.03091101833346E-3</v>
      </c>
      <c r="AP48">
        <v>9.7440425539805102E-4</v>
      </c>
      <c r="AQ48">
        <v>9.2999302516381097E-4</v>
      </c>
      <c r="AR48">
        <v>8.79071484778654E-4</v>
      </c>
      <c r="AS48">
        <v>8.3004683091693202E-4</v>
      </c>
    </row>
    <row r="49" spans="1:45" x14ac:dyDescent="0.3">
      <c r="A49" t="s">
        <v>828</v>
      </c>
      <c r="B49" t="s">
        <v>684</v>
      </c>
      <c r="C49" t="s">
        <v>681</v>
      </c>
      <c r="D49" t="s">
        <v>719</v>
      </c>
      <c r="E49" t="s">
        <v>679</v>
      </c>
      <c r="F49">
        <v>-6.6051468191761797</v>
      </c>
      <c r="G49">
        <v>999</v>
      </c>
      <c r="H49">
        <v>999</v>
      </c>
      <c r="I49">
        <v>947637.494070641</v>
      </c>
      <c r="J49">
        <v>-8.6021575971399894E-3</v>
      </c>
      <c r="K49">
        <v>-1.1759212820805101E-2</v>
      </c>
      <c r="L49">
        <v>-9.7913225293052002E-3</v>
      </c>
      <c r="M49">
        <v>-3.3596538563766998E-3</v>
      </c>
      <c r="N49">
        <v>-2.9229882961445003E-4</v>
      </c>
      <c r="O49">
        <v>-3.1053425875055998E-3</v>
      </c>
      <c r="P49">
        <v>-2.9681877753937099E-3</v>
      </c>
      <c r="Q49">
        <v>-2.82372626085698E-3</v>
      </c>
      <c r="R49">
        <v>-2.6294099608736199E-3</v>
      </c>
      <c r="S49">
        <v>-2.4785523572747599E-3</v>
      </c>
      <c r="T49">
        <v>-2.29977068635064E-3</v>
      </c>
      <c r="U49">
        <v>-2.14615651708587E-3</v>
      </c>
      <c r="V49">
        <v>-2.01629771980454E-3</v>
      </c>
      <c r="W49">
        <v>-1.9259971070477E-3</v>
      </c>
      <c r="X49">
        <v>-1.8794779975983701E-3</v>
      </c>
      <c r="Y49">
        <v>-2.0531533018203702E-3</v>
      </c>
      <c r="Z49">
        <v>-2.1600253593608101E-3</v>
      </c>
      <c r="AA49">
        <v>-2.2103129085445602E-3</v>
      </c>
      <c r="AB49">
        <v>-2.2965564809361498E-3</v>
      </c>
      <c r="AC49">
        <v>-2.3603813017726398E-3</v>
      </c>
      <c r="AD49">
        <v>-2.3892172370612E-3</v>
      </c>
      <c r="AE49">
        <v>-2.3264553622761898E-3</v>
      </c>
      <c r="AF49">
        <v>-2.3387393760882498E-3</v>
      </c>
      <c r="AG49">
        <v>-2.3745454473885598E-3</v>
      </c>
      <c r="AH49">
        <v>-2.3657333921757099E-3</v>
      </c>
      <c r="AI49">
        <v>-2.38061066510541E-3</v>
      </c>
      <c r="AJ49">
        <v>-2.4163602651275E-3</v>
      </c>
      <c r="AK49">
        <v>-2.4887962305633398E-3</v>
      </c>
      <c r="AL49">
        <v>-2.6138793668372701E-3</v>
      </c>
      <c r="AM49">
        <v>-2.5774872948284601E-3</v>
      </c>
      <c r="AN49">
        <v>-2.5251167210557398E-3</v>
      </c>
      <c r="AO49">
        <v>-2.3410838278756902E-3</v>
      </c>
      <c r="AP49">
        <v>-2.0963472052147099E-3</v>
      </c>
      <c r="AQ49">
        <v>-1.9245167132052601E-3</v>
      </c>
      <c r="AR49">
        <v>-1.8114610341001399E-3</v>
      </c>
      <c r="AS49">
        <v>-1.71054832533719E-3</v>
      </c>
    </row>
    <row r="50" spans="1:45" x14ac:dyDescent="0.3">
      <c r="A50" t="s">
        <v>828</v>
      </c>
      <c r="B50" t="s">
        <v>682</v>
      </c>
      <c r="C50" t="s">
        <v>681</v>
      </c>
      <c r="D50" t="s">
        <v>719</v>
      </c>
      <c r="E50" t="s">
        <v>679</v>
      </c>
      <c r="F50">
        <v>-6.6051468191761797</v>
      </c>
      <c r="G50">
        <v>999</v>
      </c>
      <c r="H50">
        <v>999</v>
      </c>
      <c r="I50">
        <v>947637.494070641</v>
      </c>
      <c r="J50">
        <v>-8.5876254599529297E-3</v>
      </c>
      <c r="K50">
        <v>-1.1485008897888799E-2</v>
      </c>
      <c r="L50">
        <v>-9.4522531984710008E-3</v>
      </c>
      <c r="M50">
        <v>-4.1933428198151299E-3</v>
      </c>
      <c r="N50">
        <v>-1.6270030897454E-3</v>
      </c>
      <c r="O50">
        <v>-3.8266723987219501E-3</v>
      </c>
      <c r="P50">
        <v>-3.6743118480013102E-3</v>
      </c>
      <c r="Q50">
        <v>-3.5068628666987101E-3</v>
      </c>
      <c r="R50">
        <v>-3.2912438063989699E-3</v>
      </c>
      <c r="S50">
        <v>-3.0942171690027101E-3</v>
      </c>
      <c r="T50">
        <v>-2.8881807412480301E-3</v>
      </c>
      <c r="U50">
        <v>-2.70439595474781E-3</v>
      </c>
      <c r="V50">
        <v>-2.5399933667516299E-3</v>
      </c>
      <c r="W50">
        <v>-2.4019966117399998E-3</v>
      </c>
      <c r="X50">
        <v>-2.2889593268017902E-3</v>
      </c>
      <c r="Y50">
        <v>-2.2981861835086699E-3</v>
      </c>
      <c r="Z50">
        <v>-2.2524436424621601E-3</v>
      </c>
      <c r="AA50">
        <v>-2.1679469194768402E-3</v>
      </c>
      <c r="AB50">
        <v>-2.0936587440529499E-3</v>
      </c>
      <c r="AC50">
        <v>-2.0164753805806601E-3</v>
      </c>
      <c r="AD50">
        <v>-1.90566066797805E-3</v>
      </c>
      <c r="AE50">
        <v>-1.7267826649101201E-3</v>
      </c>
      <c r="AF50">
        <v>-1.6073764947440699E-3</v>
      </c>
      <c r="AG50">
        <v>-1.5029369795764901E-3</v>
      </c>
      <c r="AH50">
        <v>-1.36102215379326E-3</v>
      </c>
      <c r="AI50">
        <v>-1.2347408805682501E-3</v>
      </c>
      <c r="AJ50">
        <v>-1.1183431561993301E-3</v>
      </c>
      <c r="AK50">
        <v>-1.01503552765255E-3</v>
      </c>
      <c r="AL50">
        <v>-9.3021428673661097E-4</v>
      </c>
      <c r="AM50">
        <v>-8.3741466043268898E-4</v>
      </c>
      <c r="AN50">
        <v>-7.5432256094447303E-4</v>
      </c>
      <c r="AO50">
        <v>-6.7189132546253397E-4</v>
      </c>
      <c r="AP50">
        <v>-5.9025411644050298E-4</v>
      </c>
      <c r="AQ50">
        <v>-5.32123686031203E-4</v>
      </c>
      <c r="AR50">
        <v>-4.8734836964358898E-4</v>
      </c>
      <c r="AS50">
        <v>-4.4394824195257798E-4</v>
      </c>
    </row>
    <row r="51" spans="1:45" x14ac:dyDescent="0.3">
      <c r="A51" t="s">
        <v>827</v>
      </c>
      <c r="B51" t="s">
        <v>686</v>
      </c>
      <c r="C51" t="s">
        <v>681</v>
      </c>
      <c r="D51" t="s">
        <v>719</v>
      </c>
      <c r="E51" t="s">
        <v>752</v>
      </c>
      <c r="F51">
        <v>-10.747514141080799</v>
      </c>
      <c r="G51">
        <v>999</v>
      </c>
      <c r="H51">
        <v>125.46112597726901</v>
      </c>
      <c r="I51">
        <v>2364.6626517885302</v>
      </c>
      <c r="J51">
        <v>5.4292719389855602E-2</v>
      </c>
      <c r="K51">
        <v>4.9327843088651797E-2</v>
      </c>
      <c r="L51">
        <v>4.4344206992626201E-2</v>
      </c>
      <c r="M51">
        <v>5.4817581312247801E-2</v>
      </c>
      <c r="N51">
        <v>5.2232781186447003E-2</v>
      </c>
      <c r="O51">
        <v>4.8632184511237603E-2</v>
      </c>
      <c r="P51">
        <v>4.7143076534254799E-2</v>
      </c>
      <c r="Q51">
        <v>4.5634342030314801E-2</v>
      </c>
      <c r="R51">
        <v>4.4096172687276301E-2</v>
      </c>
      <c r="S51">
        <v>4.2542204837544603E-2</v>
      </c>
      <c r="T51">
        <v>4.1072825133543801E-2</v>
      </c>
      <c r="U51">
        <v>3.9717567518825603E-2</v>
      </c>
      <c r="V51">
        <v>3.8516025308213901E-2</v>
      </c>
      <c r="W51">
        <v>3.73667836625282E-2</v>
      </c>
      <c r="X51">
        <v>3.6272120099090102E-2</v>
      </c>
      <c r="Y51">
        <v>3.5206961649161699E-2</v>
      </c>
      <c r="Z51">
        <v>3.4185641791745297E-2</v>
      </c>
      <c r="AA51">
        <v>3.3179681871774003E-2</v>
      </c>
      <c r="AB51">
        <v>3.2174012727326499E-2</v>
      </c>
      <c r="AC51">
        <v>3.12180495344518E-2</v>
      </c>
      <c r="AD51">
        <v>3.0296846242784298E-2</v>
      </c>
      <c r="AE51">
        <v>2.93838593354998E-2</v>
      </c>
      <c r="AF51">
        <v>2.8520338169765999E-2</v>
      </c>
      <c r="AG51">
        <v>2.7684874635971302E-2</v>
      </c>
      <c r="AH51">
        <v>2.6888755566761499E-2</v>
      </c>
      <c r="AI51">
        <v>2.61004296114721E-2</v>
      </c>
      <c r="AJ51">
        <v>2.5340942991664901E-2</v>
      </c>
      <c r="AK51">
        <v>2.46029741981072E-2</v>
      </c>
      <c r="AL51">
        <v>2.3877570761866699E-2</v>
      </c>
      <c r="AM51">
        <v>2.3171298875407999E-2</v>
      </c>
      <c r="AN51">
        <v>2.2479878743202002E-2</v>
      </c>
      <c r="AO51">
        <v>2.1816867932083501E-2</v>
      </c>
      <c r="AP51">
        <v>2.11588613031659E-2</v>
      </c>
      <c r="AQ51">
        <v>2.0531219865898901E-2</v>
      </c>
      <c r="AR51">
        <v>1.99058943917109E-2</v>
      </c>
      <c r="AS51">
        <v>1.9304910863181899E-2</v>
      </c>
    </row>
    <row r="52" spans="1:45" x14ac:dyDescent="0.3">
      <c r="A52" t="s">
        <v>827</v>
      </c>
      <c r="B52" t="s">
        <v>685</v>
      </c>
      <c r="C52" t="s">
        <v>681</v>
      </c>
      <c r="D52" t="s">
        <v>719</v>
      </c>
      <c r="E52" t="s">
        <v>752</v>
      </c>
      <c r="F52">
        <v>-10.747514141080799</v>
      </c>
      <c r="G52">
        <v>999</v>
      </c>
      <c r="H52">
        <v>125.46112597726901</v>
      </c>
      <c r="I52">
        <v>2364.6626517885302</v>
      </c>
      <c r="J52">
        <v>5.4292719389855602E-2</v>
      </c>
      <c r="K52">
        <v>4.9327843088651797E-2</v>
      </c>
      <c r="L52">
        <v>4.3818035905646299E-2</v>
      </c>
      <c r="M52">
        <v>5.3554183120738501E-2</v>
      </c>
      <c r="N52">
        <v>5.0463281964012702E-2</v>
      </c>
      <c r="O52">
        <v>4.6489333888977802E-2</v>
      </c>
      <c r="P52">
        <v>4.4606629183527702E-2</v>
      </c>
      <c r="Q52">
        <v>4.2754548572076299E-2</v>
      </c>
      <c r="R52">
        <v>4.0921345062432203E-2</v>
      </c>
      <c r="S52">
        <v>3.91173391701026E-2</v>
      </c>
      <c r="T52">
        <v>3.7431237143101502E-2</v>
      </c>
      <c r="U52">
        <v>3.58849325514198E-2</v>
      </c>
      <c r="V52">
        <v>3.4510162129335199E-2</v>
      </c>
      <c r="W52">
        <v>3.32119294428933E-2</v>
      </c>
      <c r="X52">
        <v>3.1990058764003598E-2</v>
      </c>
      <c r="Y52">
        <v>3.0820062156751302E-2</v>
      </c>
      <c r="Z52">
        <v>2.9712595876051101E-2</v>
      </c>
      <c r="AA52">
        <v>2.86414863763816E-2</v>
      </c>
      <c r="AB52">
        <v>2.7592169006594398E-2</v>
      </c>
      <c r="AC52">
        <v>2.6605803242995801E-2</v>
      </c>
      <c r="AD52">
        <v>2.5667956700562398E-2</v>
      </c>
      <c r="AE52">
        <v>2.4754606125162799E-2</v>
      </c>
      <c r="AF52">
        <v>2.3899486520778002E-2</v>
      </c>
      <c r="AG52">
        <v>2.3194823727996298E-2</v>
      </c>
      <c r="AH52">
        <v>2.2524104052955601E-2</v>
      </c>
      <c r="AI52">
        <v>2.1859558999169401E-2</v>
      </c>
      <c r="AJ52">
        <v>2.1212641758226201E-2</v>
      </c>
      <c r="AK52">
        <v>2.05845132699706E-2</v>
      </c>
      <c r="AL52">
        <v>1.9967935642908899E-2</v>
      </c>
      <c r="AM52">
        <v>1.93682913824108E-2</v>
      </c>
      <c r="AN52">
        <v>1.8781494808256301E-2</v>
      </c>
      <c r="AO52">
        <v>1.8219462255439401E-2</v>
      </c>
      <c r="AP52">
        <v>1.7662039810766299E-2</v>
      </c>
      <c r="AQ52">
        <v>1.7130900516615401E-2</v>
      </c>
      <c r="AR52">
        <v>1.6602132210682199E-2</v>
      </c>
      <c r="AS52">
        <v>1.60940524952916E-2</v>
      </c>
    </row>
    <row r="53" spans="1:45" x14ac:dyDescent="0.3">
      <c r="A53" t="s">
        <v>827</v>
      </c>
      <c r="B53" t="s">
        <v>684</v>
      </c>
      <c r="C53" t="s">
        <v>681</v>
      </c>
      <c r="D53" t="s">
        <v>719</v>
      </c>
      <c r="E53" t="s">
        <v>752</v>
      </c>
      <c r="F53">
        <v>-10.747514141080799</v>
      </c>
      <c r="G53">
        <v>999</v>
      </c>
      <c r="H53">
        <v>999</v>
      </c>
      <c r="I53">
        <v>999</v>
      </c>
      <c r="J53">
        <v>-7.6979631558060698E-18</v>
      </c>
      <c r="K53">
        <v>3.8417056202888502E-18</v>
      </c>
      <c r="L53">
        <v>4.36557456851006E-19</v>
      </c>
      <c r="M53">
        <v>-1.9208528101444201E-18</v>
      </c>
      <c r="N53">
        <v>-4.2491592466831203E-18</v>
      </c>
      <c r="O53">
        <v>-4.0745362639427203E-18</v>
      </c>
      <c r="P53">
        <v>2.3283064365387002E-18</v>
      </c>
      <c r="Q53">
        <v>-6.4028427004814197E-18</v>
      </c>
      <c r="R53">
        <v>-2.2118911147117601E-18</v>
      </c>
      <c r="S53">
        <v>5.70435076951981E-18</v>
      </c>
      <c r="T53">
        <v>1.1175870895385701E-17</v>
      </c>
      <c r="U53">
        <v>6.4028427004814197E-18</v>
      </c>
      <c r="V53">
        <v>-1.2456439435482E-17</v>
      </c>
      <c r="W53">
        <v>2.3283064365386998E-19</v>
      </c>
      <c r="X53">
        <v>-3.0267983675003099E-18</v>
      </c>
      <c r="Y53">
        <v>1.1641532182693501E-18</v>
      </c>
      <c r="Z53">
        <v>3.2596290111541801E-18</v>
      </c>
      <c r="AA53">
        <v>2.4447217583656299E-18</v>
      </c>
      <c r="AB53">
        <v>-4.65661287307739E-19</v>
      </c>
      <c r="AC53">
        <v>3.2596290111541801E-18</v>
      </c>
      <c r="AD53">
        <v>1.9790604710578899E-18</v>
      </c>
      <c r="AE53">
        <v>-6.9849193096160898E-19</v>
      </c>
      <c r="AF53">
        <v>3.4924596548080403E-18</v>
      </c>
      <c r="AG53">
        <v>3.4924596548080403E-18</v>
      </c>
      <c r="AH53">
        <v>-4.19095158576965E-18</v>
      </c>
      <c r="AI53">
        <v>6.0535967350006099E-18</v>
      </c>
      <c r="AJ53">
        <v>-5.5879354476928703E-18</v>
      </c>
      <c r="AK53">
        <v>-1.8626451492309598E-18</v>
      </c>
      <c r="AL53">
        <v>-3.2596290111541801E-18</v>
      </c>
      <c r="AM53">
        <v>3.0267983675003099E-18</v>
      </c>
      <c r="AN53">
        <v>2.09547579288483E-18</v>
      </c>
      <c r="AO53">
        <v>-2.3283064365386998E-19</v>
      </c>
      <c r="AP53">
        <v>-1.3969838619232201E-18</v>
      </c>
      <c r="AQ53">
        <v>-1.3969838619232201E-18</v>
      </c>
      <c r="AR53">
        <v>4.3073669075965897E-18</v>
      </c>
      <c r="AS53">
        <v>6.6356733441352799E-18</v>
      </c>
    </row>
    <row r="54" spans="1:45" x14ac:dyDescent="0.3">
      <c r="A54" t="s">
        <v>827</v>
      </c>
      <c r="B54" t="s">
        <v>682</v>
      </c>
      <c r="C54" t="s">
        <v>681</v>
      </c>
      <c r="D54" t="s">
        <v>719</v>
      </c>
      <c r="E54" t="s">
        <v>752</v>
      </c>
      <c r="F54">
        <v>-10.747514141080799</v>
      </c>
      <c r="G54">
        <v>999</v>
      </c>
      <c r="H54">
        <v>999</v>
      </c>
      <c r="I54">
        <v>999</v>
      </c>
      <c r="J54">
        <v>-7.6979631558060698E-18</v>
      </c>
      <c r="K54">
        <v>3.8417056202888502E-18</v>
      </c>
      <c r="L54">
        <v>-1.49011611938477E-17</v>
      </c>
      <c r="M54">
        <v>-1.1816155165433899E-17</v>
      </c>
      <c r="N54">
        <v>5.8207660913467399E-20</v>
      </c>
      <c r="O54">
        <v>-9.6624717116355898E-18</v>
      </c>
      <c r="P54">
        <v>1.9790604710578899E-18</v>
      </c>
      <c r="Q54">
        <v>3.4924596548080401E-19</v>
      </c>
      <c r="R54">
        <v>-2.56113708019257E-18</v>
      </c>
      <c r="S54">
        <v>7.21774995326996E-18</v>
      </c>
      <c r="T54">
        <v>1.8626451492309598E-18</v>
      </c>
      <c r="U54">
        <v>2.09547579288483E-18</v>
      </c>
      <c r="V54">
        <v>3.14321368932724E-18</v>
      </c>
      <c r="W54">
        <v>4.0745362639427203E-18</v>
      </c>
      <c r="X54">
        <v>2.56113708019257E-18</v>
      </c>
      <c r="Y54">
        <v>6.28642737865448E-18</v>
      </c>
      <c r="Z54">
        <v>-4.8894435167312598E-18</v>
      </c>
      <c r="AA54">
        <v>5.8207660913467399E-19</v>
      </c>
      <c r="AB54">
        <v>-3.14321368932724E-18</v>
      </c>
      <c r="AC54">
        <v>-5.2386894822120696E-18</v>
      </c>
      <c r="AD54">
        <v>1.00117176771164E-17</v>
      </c>
      <c r="AE54">
        <v>1.14087015390396E-17</v>
      </c>
      <c r="AF54">
        <v>-2.2118911147117601E-18</v>
      </c>
      <c r="AG54">
        <v>-5.70435076951981E-18</v>
      </c>
      <c r="AH54">
        <v>1.3969838619232201E-18</v>
      </c>
      <c r="AI54">
        <v>-1.04773789644241E-18</v>
      </c>
      <c r="AJ54">
        <v>-5.8207660913467399E-19</v>
      </c>
      <c r="AK54">
        <v>-2.3283064365386998E-19</v>
      </c>
      <c r="AL54">
        <v>-3.4924596548080401E-19</v>
      </c>
      <c r="AM54">
        <v>1.04773789644241E-18</v>
      </c>
      <c r="AN54">
        <v>2.2118911147117601E-18</v>
      </c>
      <c r="AO54">
        <v>-5.8207660913467399E-19</v>
      </c>
      <c r="AP54">
        <v>-1.28056854009628E-18</v>
      </c>
      <c r="AQ54">
        <v>-2.7939677238464402E-18</v>
      </c>
      <c r="AR54">
        <v>1.1641532182693499E-19</v>
      </c>
      <c r="AS54">
        <v>-2.3283064365387002E-18</v>
      </c>
    </row>
    <row r="55" spans="1:45" x14ac:dyDescent="0.3">
      <c r="A55" t="s">
        <v>826</v>
      </c>
      <c r="B55" t="s">
        <v>686</v>
      </c>
      <c r="C55" t="s">
        <v>681</v>
      </c>
      <c r="D55" t="s">
        <v>719</v>
      </c>
      <c r="E55" t="s">
        <v>752</v>
      </c>
      <c r="F55">
        <v>999</v>
      </c>
      <c r="G55">
        <v>0</v>
      </c>
      <c r="H55">
        <v>-1.7224263970462299</v>
      </c>
      <c r="I55">
        <v>-32.4638993937279</v>
      </c>
      <c r="J55">
        <v>0.13629029574588999</v>
      </c>
      <c r="K55">
        <v>0.12560052270536401</v>
      </c>
      <c r="L55">
        <v>0.116416388424277</v>
      </c>
      <c r="M55">
        <v>0.15281981371518499</v>
      </c>
      <c r="N55">
        <v>0.151356241021604</v>
      </c>
      <c r="O55">
        <v>0.147186323143463</v>
      </c>
      <c r="P55">
        <v>0.148717781666238</v>
      </c>
      <c r="Q55">
        <v>0.14991702075169699</v>
      </c>
      <c r="R55">
        <v>0.15072841956579699</v>
      </c>
      <c r="S55">
        <v>0.151159693897471</v>
      </c>
      <c r="T55">
        <v>0.15160659183395001</v>
      </c>
      <c r="U55">
        <v>0.15232853320519901</v>
      </c>
      <c r="V55">
        <v>0.153440588196748</v>
      </c>
      <c r="W55">
        <v>0.15457561416796001</v>
      </c>
      <c r="X55">
        <v>0.155777564280727</v>
      </c>
      <c r="Y55">
        <v>0.15696179677928601</v>
      </c>
      <c r="Z55">
        <v>0.15818555380348501</v>
      </c>
      <c r="AA55">
        <v>0.15927859135206299</v>
      </c>
      <c r="AB55">
        <v>0.160198689684315</v>
      </c>
      <c r="AC55">
        <v>0.16117014564963</v>
      </c>
      <c r="AD55">
        <v>0.16213049009993299</v>
      </c>
      <c r="AE55">
        <v>0.16300377556836301</v>
      </c>
      <c r="AF55">
        <v>0.163860552092367</v>
      </c>
      <c r="AG55">
        <v>0.164792557164672</v>
      </c>
      <c r="AH55">
        <v>0.16572136968388901</v>
      </c>
      <c r="AI55">
        <v>0.16656689363171001</v>
      </c>
      <c r="AJ55">
        <v>0.16738603743458699</v>
      </c>
      <c r="AK55">
        <v>0.168212325463407</v>
      </c>
      <c r="AL55">
        <v>0.16894701303974499</v>
      </c>
      <c r="AM55">
        <v>0.16963205578843099</v>
      </c>
      <c r="AN55">
        <v>0.17027330974886101</v>
      </c>
      <c r="AO55">
        <v>0.17090398719991601</v>
      </c>
      <c r="AP55">
        <v>0.171465157070436</v>
      </c>
      <c r="AQ55">
        <v>0.17199547658276201</v>
      </c>
      <c r="AR55">
        <v>0.172393778076468</v>
      </c>
      <c r="AS55">
        <v>0.172832602497073</v>
      </c>
    </row>
    <row r="56" spans="1:45" x14ac:dyDescent="0.3">
      <c r="A56" t="s">
        <v>826</v>
      </c>
      <c r="B56" t="s">
        <v>685</v>
      </c>
      <c r="C56" t="s">
        <v>681</v>
      </c>
      <c r="D56" t="s">
        <v>719</v>
      </c>
      <c r="E56" t="s">
        <v>752</v>
      </c>
      <c r="F56">
        <v>999</v>
      </c>
      <c r="G56">
        <v>0</v>
      </c>
      <c r="H56">
        <v>-1.7224263970462299</v>
      </c>
      <c r="I56">
        <v>-32.4638993937279</v>
      </c>
      <c r="J56">
        <v>0.13629029574588999</v>
      </c>
      <c r="K56">
        <v>0.12560052270536401</v>
      </c>
      <c r="L56">
        <v>0.116416388424277</v>
      </c>
      <c r="M56">
        <v>0.15093642052394499</v>
      </c>
      <c r="N56">
        <v>0.147751305618639</v>
      </c>
      <c r="O56">
        <v>0.142099727627294</v>
      </c>
      <c r="P56">
        <v>0.142058646531284</v>
      </c>
      <c r="Q56">
        <v>0.14174937024596401</v>
      </c>
      <c r="R56">
        <v>0.141128256680601</v>
      </c>
      <c r="S56">
        <v>0.14021041149531099</v>
      </c>
      <c r="T56">
        <v>0.139364401125495</v>
      </c>
      <c r="U56">
        <v>0.138823882216289</v>
      </c>
      <c r="V56">
        <v>0.138685698282171</v>
      </c>
      <c r="W56">
        <v>0.13861232629721701</v>
      </c>
      <c r="X56">
        <v>0.13864284892582199</v>
      </c>
      <c r="Y56">
        <v>0.138701011125058</v>
      </c>
      <c r="Z56">
        <v>0.138836646451379</v>
      </c>
      <c r="AA56">
        <v>0.13890062551563301</v>
      </c>
      <c r="AB56">
        <v>0.138857954036886</v>
      </c>
      <c r="AC56">
        <v>0.13890356009020499</v>
      </c>
      <c r="AD56">
        <v>0.138982765587401</v>
      </c>
      <c r="AE56">
        <v>0.139029295832132</v>
      </c>
      <c r="AF56">
        <v>0.13931073363612601</v>
      </c>
      <c r="AG56">
        <v>0.14014365922718899</v>
      </c>
      <c r="AH56">
        <v>0.140905792479908</v>
      </c>
      <c r="AI56">
        <v>0.14159805279129301</v>
      </c>
      <c r="AJ56">
        <v>0.14226835414742001</v>
      </c>
      <c r="AK56">
        <v>0.14294531565454499</v>
      </c>
      <c r="AL56">
        <v>0.14354458664540101</v>
      </c>
      <c r="AM56">
        <v>0.14410178308468499</v>
      </c>
      <c r="AN56">
        <v>0.144622097056615</v>
      </c>
      <c r="AO56">
        <v>0.14513325471333699</v>
      </c>
      <c r="AP56">
        <v>0.14558552960665899</v>
      </c>
      <c r="AQ56">
        <v>0.14601146486349501</v>
      </c>
      <c r="AR56">
        <v>0.14632529727570401</v>
      </c>
      <c r="AS56">
        <v>0.146673679375668</v>
      </c>
    </row>
    <row r="57" spans="1:45" x14ac:dyDescent="0.3">
      <c r="A57" t="s">
        <v>826</v>
      </c>
      <c r="B57" t="s">
        <v>684</v>
      </c>
      <c r="C57" t="s">
        <v>681</v>
      </c>
      <c r="D57" t="s">
        <v>719</v>
      </c>
      <c r="E57" t="s">
        <v>752</v>
      </c>
      <c r="F57">
        <v>999</v>
      </c>
      <c r="G57">
        <v>0</v>
      </c>
      <c r="H57">
        <v>-5.8145783086485103</v>
      </c>
      <c r="I57">
        <v>-109.591844129088</v>
      </c>
      <c r="J57">
        <v>5.3551048040390001E-18</v>
      </c>
      <c r="K57">
        <v>-3.4284312278032302E-17</v>
      </c>
      <c r="L57">
        <v>1.00117176771164E-17</v>
      </c>
      <c r="M57">
        <v>-1.53277887531833E-3</v>
      </c>
      <c r="N57">
        <v>-3.01432243538722E-3</v>
      </c>
      <c r="O57">
        <v>-4.1909496003613104E-3</v>
      </c>
      <c r="P57">
        <v>-5.2673770802306999E-3</v>
      </c>
      <c r="Q57">
        <v>-6.1697533923541102E-3</v>
      </c>
      <c r="R57">
        <v>-6.9296113407967003E-3</v>
      </c>
      <c r="S57">
        <v>-7.51331350678621E-3</v>
      </c>
      <c r="T57">
        <v>-7.9570123103837199E-3</v>
      </c>
      <c r="U57">
        <v>-8.3364895490775099E-3</v>
      </c>
      <c r="V57">
        <v>-8.6676080726589503E-3</v>
      </c>
      <c r="W57">
        <v>-8.9243855255255397E-3</v>
      </c>
      <c r="X57">
        <v>-9.1227477300775007E-3</v>
      </c>
      <c r="Y57">
        <v>-9.1816812979959601E-3</v>
      </c>
      <c r="Z57">
        <v>-9.0872384091064805E-3</v>
      </c>
      <c r="AA57">
        <v>-8.7631038705335892E-3</v>
      </c>
      <c r="AB57">
        <v>-8.3411128020454799E-3</v>
      </c>
      <c r="AC57">
        <v>-7.6945970617246099E-3</v>
      </c>
      <c r="AD57">
        <v>-6.7990586094244902E-3</v>
      </c>
      <c r="AE57">
        <v>-5.8884787201113099E-3</v>
      </c>
      <c r="AF57">
        <v>-4.0448317626685703E-3</v>
      </c>
      <c r="AG57">
        <v>-1.5866608201141599E-3</v>
      </c>
      <c r="AH57">
        <v>1.7399573563462601E-3</v>
      </c>
      <c r="AI57">
        <v>6.2687864475494204E-3</v>
      </c>
      <c r="AJ57">
        <v>1.2571621273703801E-2</v>
      </c>
      <c r="AK57">
        <v>2.3003530026881599E-2</v>
      </c>
      <c r="AL57">
        <v>2.7766046227699102E-2</v>
      </c>
      <c r="AM57">
        <v>2.45289249538303E-2</v>
      </c>
      <c r="AN57">
        <v>1.9088623247991501E-2</v>
      </c>
      <c r="AO57">
        <v>1.43252611394072E-2</v>
      </c>
      <c r="AP57">
        <v>9.6325880138520593E-3</v>
      </c>
      <c r="AQ57">
        <v>6.0841170921764496E-3</v>
      </c>
      <c r="AR57">
        <v>3.3728707983382098E-3</v>
      </c>
      <c r="AS57">
        <v>-2.0770799936880601E-3</v>
      </c>
    </row>
    <row r="58" spans="1:45" x14ac:dyDescent="0.3">
      <c r="A58" t="s">
        <v>826</v>
      </c>
      <c r="B58" t="s">
        <v>682</v>
      </c>
      <c r="C58" t="s">
        <v>681</v>
      </c>
      <c r="D58" t="s">
        <v>719</v>
      </c>
      <c r="E58" t="s">
        <v>752</v>
      </c>
      <c r="F58">
        <v>999</v>
      </c>
      <c r="G58">
        <v>0</v>
      </c>
      <c r="H58">
        <v>-5.8145783086485103</v>
      </c>
      <c r="I58">
        <v>-109.591844129088</v>
      </c>
      <c r="J58">
        <v>5.3551048040390001E-18</v>
      </c>
      <c r="K58">
        <v>-3.4284312278032302E-17</v>
      </c>
      <c r="L58">
        <v>1.00117176771164E-17</v>
      </c>
      <c r="M58">
        <v>-1.9295250736029799E-3</v>
      </c>
      <c r="N58">
        <v>-3.7403962748252602E-3</v>
      </c>
      <c r="O58">
        <v>-5.2343010393403003E-3</v>
      </c>
      <c r="P58">
        <v>-6.7106145831018404E-3</v>
      </c>
      <c r="Q58">
        <v>-8.0422759688154304E-3</v>
      </c>
      <c r="R58">
        <v>-9.2404937534061697E-3</v>
      </c>
      <c r="S58">
        <v>-1.02431492375716E-2</v>
      </c>
      <c r="T58">
        <v>-1.11122656450287E-2</v>
      </c>
      <c r="U58">
        <v>-1.19090229913113E-2</v>
      </c>
      <c r="V58">
        <v>-1.2647051634774399E-2</v>
      </c>
      <c r="W58">
        <v>-1.32903958256879E-2</v>
      </c>
      <c r="X58">
        <v>-1.3843324343869E-2</v>
      </c>
      <c r="Y58">
        <v>-1.42425114092554E-2</v>
      </c>
      <c r="Z58">
        <v>-1.4476871752252801E-2</v>
      </c>
      <c r="AA58">
        <v>-1.4479898835657101E-2</v>
      </c>
      <c r="AB58">
        <v>-1.43417564937156E-2</v>
      </c>
      <c r="AC58">
        <v>-1.39182530949202E-2</v>
      </c>
      <c r="AD58">
        <v>-1.3112721079402799E-2</v>
      </c>
      <c r="AE58">
        <v>-1.2333553553174E-2</v>
      </c>
      <c r="AF58">
        <v>-1.0618522345117299E-2</v>
      </c>
      <c r="AG58">
        <v>-8.3324280652694004E-3</v>
      </c>
      <c r="AH58">
        <v>-5.2925352454819396E-3</v>
      </c>
      <c r="AI58">
        <v>-1.1276210448413701E-3</v>
      </c>
      <c r="AJ58">
        <v>4.6976702301814799E-3</v>
      </c>
      <c r="AK58">
        <v>1.4356293166902101E-2</v>
      </c>
      <c r="AL58">
        <v>1.9483653969956001E-2</v>
      </c>
      <c r="AM58">
        <v>1.7896279034463999E-2</v>
      </c>
      <c r="AN58">
        <v>1.4280465546856899E-2</v>
      </c>
      <c r="AO58">
        <v>1.1112529283689301E-2</v>
      </c>
      <c r="AP58">
        <v>7.9728881112044406E-3</v>
      </c>
      <c r="AQ58">
        <v>5.7405928573821801E-3</v>
      </c>
      <c r="AR58">
        <v>4.2319195029823196E-3</v>
      </c>
      <c r="AS58">
        <v>1.5496228449789499E-4</v>
      </c>
    </row>
    <row r="59" spans="1:45" x14ac:dyDescent="0.3">
      <c r="A59" t="s">
        <v>825</v>
      </c>
      <c r="B59" t="s">
        <v>686</v>
      </c>
      <c r="C59" t="s">
        <v>681</v>
      </c>
      <c r="D59" t="s">
        <v>719</v>
      </c>
      <c r="E59" t="s">
        <v>22</v>
      </c>
      <c r="F59">
        <v>0.84819741390669301</v>
      </c>
      <c r="G59">
        <v>9.54889291205345</v>
      </c>
      <c r="H59">
        <v>13.2135906019895</v>
      </c>
      <c r="I59">
        <v>249.04673817617299</v>
      </c>
      <c r="J59">
        <v>8.0980318699999998E-2</v>
      </c>
      <c r="K59">
        <v>8.3237936700000001E-2</v>
      </c>
      <c r="L59">
        <v>8.4253856200000005E-2</v>
      </c>
      <c r="M59">
        <v>8.5536660400000006E-2</v>
      </c>
      <c r="N59">
        <v>8.6691936799999994E-2</v>
      </c>
      <c r="O59">
        <v>8.7587429199999997E-2</v>
      </c>
      <c r="P59">
        <v>8.8199803699999996E-2</v>
      </c>
      <c r="Q59">
        <v>8.8678480599999998E-2</v>
      </c>
      <c r="R59">
        <v>8.8986591700000006E-2</v>
      </c>
      <c r="S59">
        <v>8.9165185800000005E-2</v>
      </c>
      <c r="T59">
        <v>8.9391331500000004E-2</v>
      </c>
      <c r="U59">
        <v>8.9866618300000006E-2</v>
      </c>
      <c r="V59">
        <v>9.0580057500000005E-2</v>
      </c>
      <c r="W59">
        <v>9.1382553199999994E-2</v>
      </c>
      <c r="X59">
        <v>9.2214059900000006E-2</v>
      </c>
      <c r="Y59">
        <v>9.30809056E-2</v>
      </c>
      <c r="Z59">
        <v>9.4019950000000005E-2</v>
      </c>
      <c r="AA59">
        <v>9.4884932199999994E-2</v>
      </c>
      <c r="AB59">
        <v>9.5698310300000006E-2</v>
      </c>
      <c r="AC59">
        <v>9.6531422500000005E-2</v>
      </c>
      <c r="AD59">
        <v>9.7383878399999999E-2</v>
      </c>
      <c r="AE59">
        <v>9.8214617000000004E-2</v>
      </c>
      <c r="AF59">
        <v>9.9028426000000003E-2</v>
      </c>
      <c r="AG59">
        <v>9.9895188600000004E-2</v>
      </c>
      <c r="AH59">
        <v>0.10078711579999999</v>
      </c>
      <c r="AI59">
        <v>0.1016627127</v>
      </c>
      <c r="AJ59">
        <v>0.102560573</v>
      </c>
      <c r="AK59">
        <v>0.10344365780000001</v>
      </c>
      <c r="AL59">
        <v>0.1042827554</v>
      </c>
      <c r="AM59">
        <v>0.1051025679</v>
      </c>
      <c r="AN59">
        <v>0.10591014429999999</v>
      </c>
      <c r="AO59">
        <v>0.10672656129999999</v>
      </c>
      <c r="AP59">
        <v>0.1075477735</v>
      </c>
      <c r="AQ59">
        <v>0.1083308318</v>
      </c>
      <c r="AR59">
        <v>0.1090499439</v>
      </c>
      <c r="AS59">
        <v>0.1097810018</v>
      </c>
    </row>
    <row r="60" spans="1:45" x14ac:dyDescent="0.3">
      <c r="A60" t="s">
        <v>825</v>
      </c>
      <c r="B60" t="s">
        <v>685</v>
      </c>
      <c r="C60" t="s">
        <v>681</v>
      </c>
      <c r="D60" t="s">
        <v>719</v>
      </c>
      <c r="E60" t="s">
        <v>22</v>
      </c>
      <c r="F60">
        <v>0.84819741390669301</v>
      </c>
      <c r="G60">
        <v>9.54889291205345</v>
      </c>
      <c r="H60">
        <v>13.2135906019895</v>
      </c>
      <c r="I60">
        <v>249.04673817617299</v>
      </c>
      <c r="J60">
        <v>8.0980318699999998E-2</v>
      </c>
      <c r="K60">
        <v>8.3237936700000001E-2</v>
      </c>
      <c r="L60">
        <v>8.2938391447747298E-2</v>
      </c>
      <c r="M60">
        <v>8.30423208871926E-2</v>
      </c>
      <c r="N60">
        <v>8.3078126888486703E-2</v>
      </c>
      <c r="O60">
        <v>8.2970246407839704E-2</v>
      </c>
      <c r="P60">
        <v>8.2682871396826896E-2</v>
      </c>
      <c r="Q60">
        <v>8.2362436553229404E-2</v>
      </c>
      <c r="R60">
        <v>8.1973795900062998E-2</v>
      </c>
      <c r="S60">
        <v>8.1552230895923006E-2</v>
      </c>
      <c r="T60">
        <v>8.12540474299559E-2</v>
      </c>
      <c r="U60">
        <v>8.1246622904501797E-2</v>
      </c>
      <c r="V60">
        <v>8.1730652137295107E-2</v>
      </c>
      <c r="W60">
        <v>8.2660386548932693E-2</v>
      </c>
      <c r="X60">
        <v>8.3617114706996801E-2</v>
      </c>
      <c r="Y60">
        <v>8.4605091615942901E-2</v>
      </c>
      <c r="Z60">
        <v>8.5656526123847804E-2</v>
      </c>
      <c r="AA60">
        <v>8.6637130595270506E-2</v>
      </c>
      <c r="AB60">
        <v>8.7566025658775706E-2</v>
      </c>
      <c r="AC60">
        <v>8.8507486947338496E-2</v>
      </c>
      <c r="AD60">
        <v>8.9460643075016194E-2</v>
      </c>
      <c r="AE60">
        <v>9.04010906722197E-2</v>
      </c>
      <c r="AF60">
        <v>9.1337266552993096E-2</v>
      </c>
      <c r="AG60">
        <v>9.2313719406914296E-2</v>
      </c>
      <c r="AH60">
        <v>9.3305047437261798E-2</v>
      </c>
      <c r="AI60">
        <v>9.4273100929082101E-2</v>
      </c>
      <c r="AJ60">
        <v>9.5253813122606099E-2</v>
      </c>
      <c r="AK60">
        <v>9.6213054019941902E-2</v>
      </c>
      <c r="AL60">
        <v>9.7123825401318795E-2</v>
      </c>
      <c r="AM60">
        <v>9.8009256944131901E-2</v>
      </c>
      <c r="AN60">
        <v>9.8876181639681301E-2</v>
      </c>
      <c r="AO60">
        <v>9.9744608834806597E-2</v>
      </c>
      <c r="AP60">
        <v>0.100611062733879</v>
      </c>
      <c r="AQ60">
        <v>0.10143576663924</v>
      </c>
      <c r="AR60">
        <v>0.102194678752257</v>
      </c>
      <c r="AS60">
        <v>0.102959243979554</v>
      </c>
    </row>
    <row r="61" spans="1:45" x14ac:dyDescent="0.3">
      <c r="A61" t="s">
        <v>825</v>
      </c>
      <c r="B61" t="s">
        <v>684</v>
      </c>
      <c r="C61" t="s">
        <v>681</v>
      </c>
      <c r="D61" t="s">
        <v>719</v>
      </c>
      <c r="E61" t="s">
        <v>22</v>
      </c>
      <c r="F61">
        <v>0.84819741390669301</v>
      </c>
      <c r="G61">
        <v>9.54889291205345</v>
      </c>
      <c r="H61">
        <v>50.5925911324601</v>
      </c>
      <c r="I61">
        <v>953.55760420812896</v>
      </c>
      <c r="J61">
        <v>1.4915713109076E-17</v>
      </c>
      <c r="K61">
        <v>5.1513779908418697E-18</v>
      </c>
      <c r="L61">
        <v>1.1214742201156099E-3</v>
      </c>
      <c r="M61">
        <v>2.14082260495783E-3</v>
      </c>
      <c r="N61">
        <v>3.0614191176992502E-3</v>
      </c>
      <c r="O61">
        <v>3.8551761077151099E-3</v>
      </c>
      <c r="P61">
        <v>4.5485967043614297E-3</v>
      </c>
      <c r="Q61">
        <v>6.7687554768326302E-3</v>
      </c>
      <c r="R61">
        <v>8.7089751229341497E-3</v>
      </c>
      <c r="S61">
        <v>1.04006465639863E-2</v>
      </c>
      <c r="T61">
        <v>1.29173338836642E-2</v>
      </c>
      <c r="U61">
        <v>1.4569856134863101E-2</v>
      </c>
      <c r="V61">
        <v>1.6071794874362801E-2</v>
      </c>
      <c r="W61">
        <v>1.74274933244612E-2</v>
      </c>
      <c r="X61">
        <v>1.8646932026238398E-2</v>
      </c>
      <c r="Y61">
        <v>1.9749639140978999E-2</v>
      </c>
      <c r="Z61">
        <v>2.0760425413807598E-2</v>
      </c>
      <c r="AA61">
        <v>2.16603363894344E-2</v>
      </c>
      <c r="AB61">
        <v>2.2464819270627202E-2</v>
      </c>
      <c r="AC61">
        <v>2.32003228771245E-2</v>
      </c>
      <c r="AD61">
        <v>2.38760936055398E-2</v>
      </c>
      <c r="AE61">
        <v>2.44905269550705E-2</v>
      </c>
      <c r="AF61">
        <v>2.5051849395378301E-2</v>
      </c>
      <c r="AG61">
        <v>2.5584242163328899E-2</v>
      </c>
      <c r="AH61">
        <v>2.6086414995995701E-2</v>
      </c>
      <c r="AI61">
        <v>2.6552338852193502E-2</v>
      </c>
      <c r="AJ61">
        <v>2.6995823874405599E-2</v>
      </c>
      <c r="AK61">
        <v>2.7410643828285002E-2</v>
      </c>
      <c r="AL61">
        <v>2.7792013765146301E-2</v>
      </c>
      <c r="AM61">
        <v>2.8149096699585201E-2</v>
      </c>
      <c r="AN61">
        <v>2.8486178410006599E-2</v>
      </c>
      <c r="AO61">
        <v>2.8810989105978801E-2</v>
      </c>
      <c r="AP61">
        <v>2.9124278726004298E-2</v>
      </c>
      <c r="AQ61">
        <v>2.94159847818771E-2</v>
      </c>
      <c r="AR61">
        <v>2.96804062700236E-2</v>
      </c>
      <c r="AS61">
        <v>2.9939373021147301E-2</v>
      </c>
    </row>
    <row r="62" spans="1:45" x14ac:dyDescent="0.3">
      <c r="A62" t="s">
        <v>825</v>
      </c>
      <c r="B62" t="s">
        <v>682</v>
      </c>
      <c r="C62" t="s">
        <v>681</v>
      </c>
      <c r="D62" t="s">
        <v>719</v>
      </c>
      <c r="E62" t="s">
        <v>22</v>
      </c>
      <c r="F62">
        <v>0.84819741390669301</v>
      </c>
      <c r="G62">
        <v>9.54889291205345</v>
      </c>
      <c r="H62">
        <v>50.5925911324601</v>
      </c>
      <c r="I62">
        <v>953.55760420812896</v>
      </c>
      <c r="J62">
        <v>1.4915713109076E-17</v>
      </c>
      <c r="K62">
        <v>5.1513779908418697E-18</v>
      </c>
      <c r="L62">
        <v>1.09879535667831E-3</v>
      </c>
      <c r="M62">
        <v>2.06625858443688E-3</v>
      </c>
      <c r="N62">
        <v>2.91744019273916E-3</v>
      </c>
      <c r="O62">
        <v>3.6358092471702901E-3</v>
      </c>
      <c r="P62">
        <v>4.2503099552446402E-3</v>
      </c>
      <c r="Q62">
        <v>6.2755051884503602E-3</v>
      </c>
      <c r="R62">
        <v>8.0157249444653498E-3</v>
      </c>
      <c r="S62">
        <v>9.5100167980134293E-3</v>
      </c>
      <c r="T62">
        <v>1.1742538161365799E-2</v>
      </c>
      <c r="U62">
        <v>1.31785216011156E-2</v>
      </c>
      <c r="V62">
        <v>1.4510636279385499E-2</v>
      </c>
      <c r="W62">
        <v>1.57719108145443E-2</v>
      </c>
      <c r="X62">
        <v>1.6914921242788299E-2</v>
      </c>
      <c r="Y62">
        <v>1.7956270900148098E-2</v>
      </c>
      <c r="Z62">
        <v>1.8917431864863599E-2</v>
      </c>
      <c r="AA62">
        <v>1.97801342172488E-2</v>
      </c>
      <c r="AB62">
        <v>2.0557468293360599E-2</v>
      </c>
      <c r="AC62">
        <v>2.12727708025039E-2</v>
      </c>
      <c r="AD62">
        <v>2.1933838265229301E-2</v>
      </c>
      <c r="AE62">
        <v>2.2542210006386499E-2</v>
      </c>
      <c r="AF62">
        <v>2.3106207818757898E-2</v>
      </c>
      <c r="AG62">
        <v>2.3642582774745301E-2</v>
      </c>
      <c r="AH62">
        <v>2.4149889067492401E-2</v>
      </c>
      <c r="AI62">
        <v>2.4622346684112902E-2</v>
      </c>
      <c r="AJ62">
        <v>2.5072579912570201E-2</v>
      </c>
      <c r="AK62">
        <v>2.5494695165522101E-2</v>
      </c>
      <c r="AL62">
        <v>2.5884138026646599E-2</v>
      </c>
      <c r="AM62">
        <v>2.6249352735749899E-2</v>
      </c>
      <c r="AN62">
        <v>2.6594304953818999E-2</v>
      </c>
      <c r="AO62">
        <v>2.6926219104448201E-2</v>
      </c>
      <c r="AP62">
        <v>2.72458117906672E-2</v>
      </c>
      <c r="AQ62">
        <v>2.7543724316198299E-2</v>
      </c>
      <c r="AR62">
        <v>2.7814604232701198E-2</v>
      </c>
      <c r="AS62">
        <v>2.8078961491722999E-2</v>
      </c>
    </row>
    <row r="63" spans="1:45" x14ac:dyDescent="0.3">
      <c r="A63" t="s">
        <v>824</v>
      </c>
      <c r="B63" t="s">
        <v>686</v>
      </c>
      <c r="C63" t="s">
        <v>681</v>
      </c>
      <c r="D63" t="s">
        <v>719</v>
      </c>
      <c r="E63" t="s">
        <v>20</v>
      </c>
      <c r="F63">
        <v>999</v>
      </c>
      <c r="G63">
        <v>999</v>
      </c>
      <c r="H63">
        <v>999</v>
      </c>
      <c r="I63">
        <v>999</v>
      </c>
      <c r="J63">
        <v>0.26053697740005999</v>
      </c>
      <c r="K63">
        <v>0.28147403961835998</v>
      </c>
      <c r="L63">
        <v>0.27594123159596501</v>
      </c>
      <c r="M63">
        <v>0.22859959751287701</v>
      </c>
      <c r="N63">
        <v>0.209984049020742</v>
      </c>
      <c r="O63">
        <v>0.22718520907906301</v>
      </c>
      <c r="P63">
        <v>0.22141780414854001</v>
      </c>
      <c r="Q63">
        <v>0.216410344555371</v>
      </c>
      <c r="R63">
        <v>0.212135671683087</v>
      </c>
      <c r="S63">
        <v>0.20969374965667101</v>
      </c>
      <c r="T63">
        <v>0.20614053979406599</v>
      </c>
      <c r="U63">
        <v>0.20332135954237601</v>
      </c>
      <c r="V63">
        <v>0.201441184306204</v>
      </c>
      <c r="W63">
        <v>0.20054663975367401</v>
      </c>
      <c r="X63">
        <v>0.20104750172273</v>
      </c>
      <c r="Y63">
        <v>0.19648006676098201</v>
      </c>
      <c r="Z63">
        <v>0.19233395966469999</v>
      </c>
      <c r="AA63">
        <v>0.187697875058076</v>
      </c>
      <c r="AB63">
        <v>0.184901001484366</v>
      </c>
      <c r="AC63">
        <v>0.18235659215858599</v>
      </c>
      <c r="AD63">
        <v>0.18078818645005401</v>
      </c>
      <c r="AE63">
        <v>0.17979031795171099</v>
      </c>
      <c r="AF63">
        <v>0.17859960984513101</v>
      </c>
      <c r="AG63">
        <v>0.177739390352744</v>
      </c>
      <c r="AH63">
        <v>0.177476556728034</v>
      </c>
      <c r="AI63">
        <v>0.17355009184290199</v>
      </c>
      <c r="AJ63">
        <v>0.17006540315671201</v>
      </c>
      <c r="AK63">
        <v>0.167458073132811</v>
      </c>
      <c r="AL63">
        <v>0.165495900312079</v>
      </c>
      <c r="AM63">
        <v>0.163890278416982</v>
      </c>
      <c r="AN63">
        <v>0.16241316950065901</v>
      </c>
      <c r="AO63">
        <v>0.161321372851494</v>
      </c>
      <c r="AP63">
        <v>0.16080896074780501</v>
      </c>
      <c r="AQ63">
        <v>0.160291909172603</v>
      </c>
      <c r="AR63">
        <v>0.16046091213198699</v>
      </c>
      <c r="AS63">
        <v>0.160973721238892</v>
      </c>
    </row>
    <row r="64" spans="1:45" x14ac:dyDescent="0.3">
      <c r="A64" t="s">
        <v>824</v>
      </c>
      <c r="B64" t="s">
        <v>685</v>
      </c>
      <c r="C64" t="s">
        <v>681</v>
      </c>
      <c r="D64" t="s">
        <v>719</v>
      </c>
      <c r="E64" t="s">
        <v>20</v>
      </c>
      <c r="F64">
        <v>999</v>
      </c>
      <c r="G64">
        <v>999</v>
      </c>
      <c r="H64">
        <v>999</v>
      </c>
      <c r="I64">
        <v>999</v>
      </c>
      <c r="J64">
        <v>0.249322973980768</v>
      </c>
      <c r="K64">
        <v>0.26105547758912001</v>
      </c>
      <c r="L64">
        <v>0.24735368330570001</v>
      </c>
      <c r="M64">
        <v>0.19254109790166801</v>
      </c>
      <c r="N64">
        <v>0.16699910786102101</v>
      </c>
      <c r="O64">
        <v>0.17980876762289699</v>
      </c>
      <c r="P64">
        <v>0.171038569863177</v>
      </c>
      <c r="Q64">
        <v>0.163997465739769</v>
      </c>
      <c r="R64">
        <v>0.15846240379565399</v>
      </c>
      <c r="S64">
        <v>0.15524359369287699</v>
      </c>
      <c r="T64">
        <v>0.15505102202403001</v>
      </c>
      <c r="U64">
        <v>0.155607684316109</v>
      </c>
      <c r="V64">
        <v>0.15669920257122799</v>
      </c>
      <c r="W64">
        <v>0.15844040949275601</v>
      </c>
      <c r="X64">
        <v>0.16120618042597801</v>
      </c>
      <c r="Y64">
        <v>0.162003118183568</v>
      </c>
      <c r="Z64">
        <v>0.163285396778202</v>
      </c>
      <c r="AA64">
        <v>0.164107399810968</v>
      </c>
      <c r="AB64">
        <v>0.16655281967702901</v>
      </c>
      <c r="AC64">
        <v>0.16908209161666299</v>
      </c>
      <c r="AD64">
        <v>0.172353880477463</v>
      </c>
      <c r="AE64">
        <v>0.175959089315228</v>
      </c>
      <c r="AF64">
        <v>0.17912757850352901</v>
      </c>
      <c r="AG64">
        <v>0.18235975461576301</v>
      </c>
      <c r="AH64">
        <v>0.18593392545802001</v>
      </c>
      <c r="AI64">
        <v>0.188483478837877</v>
      </c>
      <c r="AJ64">
        <v>0.19099028869923801</v>
      </c>
      <c r="AK64">
        <v>0.19394327864357</v>
      </c>
      <c r="AL64">
        <v>0.19712109451072601</v>
      </c>
      <c r="AM64">
        <v>0.200225591712613</v>
      </c>
      <c r="AN64">
        <v>0.20300653134966401</v>
      </c>
      <c r="AO64">
        <v>0.20577162800374299</v>
      </c>
      <c r="AP64">
        <v>0.208810092936077</v>
      </c>
      <c r="AQ64">
        <v>0.21147804231219</v>
      </c>
      <c r="AR64">
        <v>0.21458381018825001</v>
      </c>
      <c r="AS64">
        <v>0.217774768116132</v>
      </c>
    </row>
    <row r="65" spans="1:45" x14ac:dyDescent="0.3">
      <c r="A65" t="s">
        <v>824</v>
      </c>
      <c r="B65" t="s">
        <v>684</v>
      </c>
      <c r="C65" t="s">
        <v>681</v>
      </c>
      <c r="D65" t="s">
        <v>719</v>
      </c>
      <c r="E65" t="s">
        <v>20</v>
      </c>
      <c r="F65">
        <v>999</v>
      </c>
      <c r="G65">
        <v>999</v>
      </c>
      <c r="H65">
        <v>999</v>
      </c>
      <c r="I65">
        <v>999</v>
      </c>
      <c r="J65">
        <v>0.26053697740005999</v>
      </c>
      <c r="K65">
        <v>0.28147403961835998</v>
      </c>
      <c r="L65">
        <v>0.27594123159596501</v>
      </c>
      <c r="M65">
        <v>0.22859959751287701</v>
      </c>
      <c r="N65">
        <v>0.209984049020742</v>
      </c>
      <c r="O65">
        <v>0.20025217840117299</v>
      </c>
      <c r="P65">
        <v>0.17243768500946099</v>
      </c>
      <c r="Q65">
        <v>0.14931101613641101</v>
      </c>
      <c r="R65">
        <v>0.130032302702979</v>
      </c>
      <c r="S65">
        <v>0.114532636652907</v>
      </c>
      <c r="T65">
        <v>0.10903986934519801</v>
      </c>
      <c r="U65">
        <v>0.104928587088907</v>
      </c>
      <c r="V65">
        <v>8.7414840115757494E-2</v>
      </c>
      <c r="W65">
        <v>7.3169225088026896E-2</v>
      </c>
      <c r="X65">
        <v>6.1667114537876301E-2</v>
      </c>
      <c r="Y65">
        <v>5.0663780896217099E-2</v>
      </c>
      <c r="Z65">
        <v>4.1685660726783001E-2</v>
      </c>
      <c r="AA65">
        <v>3.4190616949141002E-2</v>
      </c>
      <c r="AB65">
        <v>2.8304237588022599E-2</v>
      </c>
      <c r="AC65">
        <v>2.3456106234235701E-2</v>
      </c>
      <c r="AD65">
        <v>1.9539694477563398E-2</v>
      </c>
      <c r="AE65">
        <v>1.6326061515917201E-2</v>
      </c>
      <c r="AF65">
        <v>1.36238159197043E-2</v>
      </c>
      <c r="AG65">
        <v>1.13861359518918E-2</v>
      </c>
      <c r="AH65">
        <v>9.5446943050395208E-3</v>
      </c>
      <c r="AI65">
        <v>7.8328003830066793E-3</v>
      </c>
      <c r="AJ65">
        <v>6.4388894604194601E-3</v>
      </c>
      <c r="AK65">
        <v>5.3164609126080398E-3</v>
      </c>
      <c r="AL65">
        <v>4.4039080300443297E-3</v>
      </c>
      <c r="AM65">
        <v>3.65384441903999E-3</v>
      </c>
      <c r="AN65">
        <v>3.0321998447169702E-3</v>
      </c>
      <c r="AO65">
        <v>2.5207478269277301E-3</v>
      </c>
      <c r="AP65">
        <v>2.1017938109674601E-3</v>
      </c>
      <c r="AQ65">
        <v>1.75138287432958E-3</v>
      </c>
      <c r="AR65">
        <v>1.46470209775724E-3</v>
      </c>
      <c r="AS65">
        <v>1.22677417605138E-3</v>
      </c>
    </row>
    <row r="66" spans="1:45" x14ac:dyDescent="0.3">
      <c r="A66" t="s">
        <v>824</v>
      </c>
      <c r="B66" t="s">
        <v>682</v>
      </c>
      <c r="C66" t="s">
        <v>681</v>
      </c>
      <c r="D66" t="s">
        <v>719</v>
      </c>
      <c r="E66" t="s">
        <v>20</v>
      </c>
      <c r="F66">
        <v>999</v>
      </c>
      <c r="G66">
        <v>999</v>
      </c>
      <c r="H66">
        <v>999</v>
      </c>
      <c r="I66">
        <v>999</v>
      </c>
      <c r="J66">
        <v>0.249322973980768</v>
      </c>
      <c r="K66">
        <v>0.26105547758912001</v>
      </c>
      <c r="L66">
        <v>0.24735368330570001</v>
      </c>
      <c r="M66">
        <v>0.19254109790166801</v>
      </c>
      <c r="N66">
        <v>0.16699910786102101</v>
      </c>
      <c r="O66">
        <v>0.15872485116358301</v>
      </c>
      <c r="P66">
        <v>0.13346591361510099</v>
      </c>
      <c r="Q66">
        <v>0.113353926528341</v>
      </c>
      <c r="R66">
        <v>9.7258830137028907E-2</v>
      </c>
      <c r="S66">
        <v>8.4855881531111399E-2</v>
      </c>
      <c r="T66">
        <v>8.2063412983456402E-2</v>
      </c>
      <c r="U66">
        <v>8.0342517727819002E-2</v>
      </c>
      <c r="V66">
        <v>6.8023959923974406E-2</v>
      </c>
      <c r="W66">
        <v>5.7823394385675901E-2</v>
      </c>
      <c r="X66">
        <v>4.9457935758243102E-2</v>
      </c>
      <c r="Y66">
        <v>4.1780836151189903E-2</v>
      </c>
      <c r="Z66">
        <v>3.5394174826769299E-2</v>
      </c>
      <c r="AA66">
        <v>2.98958715759736E-2</v>
      </c>
      <c r="AB66">
        <v>2.5496627569186602E-2</v>
      </c>
      <c r="AC66">
        <v>2.17487142966604E-2</v>
      </c>
      <c r="AD66">
        <v>1.86274614704839E-2</v>
      </c>
      <c r="AE66">
        <v>1.5977009777379099E-2</v>
      </c>
      <c r="AF66">
        <v>1.3662605869335501E-2</v>
      </c>
      <c r="AG66">
        <v>1.16804243977944E-2</v>
      </c>
      <c r="AH66">
        <v>9.9976899936612806E-3</v>
      </c>
      <c r="AI66">
        <v>8.5045658803113607E-3</v>
      </c>
      <c r="AJ66">
        <v>7.2286146112847801E-3</v>
      </c>
      <c r="AK66">
        <v>6.1545187514277701E-3</v>
      </c>
      <c r="AL66">
        <v>5.2424317113640203E-3</v>
      </c>
      <c r="AM66">
        <v>4.4606734223223898E-3</v>
      </c>
      <c r="AN66">
        <v>3.7866269846752302E-3</v>
      </c>
      <c r="AO66">
        <v>3.2117110529395498E-3</v>
      </c>
      <c r="AP66">
        <v>2.7254502966083502E-3</v>
      </c>
      <c r="AQ66">
        <v>2.3068545462996502E-3</v>
      </c>
      <c r="AR66">
        <v>1.9549175820472099E-3</v>
      </c>
      <c r="AS66">
        <v>1.6558592706822099E-3</v>
      </c>
    </row>
    <row r="67" spans="1:45" x14ac:dyDescent="0.3">
      <c r="A67" t="s">
        <v>823</v>
      </c>
      <c r="B67" t="s">
        <v>686</v>
      </c>
      <c r="C67" t="s">
        <v>681</v>
      </c>
      <c r="D67" t="s">
        <v>719</v>
      </c>
      <c r="E67" t="s">
        <v>752</v>
      </c>
      <c r="F67">
        <v>-18.612490706375201</v>
      </c>
      <c r="G67">
        <v>999</v>
      </c>
      <c r="H67">
        <v>1956.55665498233</v>
      </c>
      <c r="I67">
        <v>27636.0255506596</v>
      </c>
      <c r="J67">
        <v>3.10032843567544E-3</v>
      </c>
      <c r="K67">
        <v>3.2238777278919E-3</v>
      </c>
      <c r="L67">
        <v>2.8706274657249301E-3</v>
      </c>
      <c r="M67">
        <v>3.2211757084607499E-3</v>
      </c>
      <c r="N67">
        <v>3.06160897597704E-3</v>
      </c>
      <c r="O67">
        <v>2.7931491246545501E-3</v>
      </c>
      <c r="P67">
        <v>2.7264031461211599E-3</v>
      </c>
      <c r="Q67">
        <v>2.6641929751453899E-3</v>
      </c>
      <c r="R67">
        <v>2.60275227017526E-3</v>
      </c>
      <c r="S67">
        <v>2.5343492926151998E-3</v>
      </c>
      <c r="T67">
        <v>2.4520390776946099E-3</v>
      </c>
      <c r="U67">
        <v>2.3699247027604E-3</v>
      </c>
      <c r="V67">
        <v>2.2884776835694598E-3</v>
      </c>
      <c r="W67">
        <v>2.2120062894976202E-3</v>
      </c>
      <c r="X67">
        <v>2.14077486374816E-3</v>
      </c>
      <c r="Y67">
        <v>2.07249507044836E-3</v>
      </c>
      <c r="Z67">
        <v>2.0088052540126302E-3</v>
      </c>
      <c r="AA67">
        <v>1.94623946060223E-3</v>
      </c>
      <c r="AB67">
        <v>1.8858196267190299E-3</v>
      </c>
      <c r="AC67">
        <v>1.8295438746920099E-3</v>
      </c>
      <c r="AD67">
        <v>1.7739620789482299E-3</v>
      </c>
      <c r="AE67">
        <v>1.71956703651259E-3</v>
      </c>
      <c r="AF67">
        <v>1.66906092818474E-3</v>
      </c>
      <c r="AG67">
        <v>1.6203313207356501E-3</v>
      </c>
      <c r="AH67">
        <v>1.57306823478036E-3</v>
      </c>
      <c r="AI67">
        <v>1.5260787537826801E-3</v>
      </c>
      <c r="AJ67">
        <v>1.4818974982005199E-3</v>
      </c>
      <c r="AK67">
        <v>1.4394458385965799E-3</v>
      </c>
      <c r="AL67">
        <v>1.3994916401062201E-3</v>
      </c>
      <c r="AM67">
        <v>1.3609726419982001E-3</v>
      </c>
      <c r="AN67">
        <v>1.3232030547525499E-3</v>
      </c>
      <c r="AO67">
        <v>1.28689661042625E-3</v>
      </c>
      <c r="AP67">
        <v>1.2541229535683799E-3</v>
      </c>
      <c r="AQ67">
        <v>1.21958504877421E-3</v>
      </c>
      <c r="AR67">
        <v>1.18674686070941E-3</v>
      </c>
      <c r="AS67">
        <v>1.15431112922249E-3</v>
      </c>
    </row>
    <row r="68" spans="1:45" x14ac:dyDescent="0.3">
      <c r="A68" t="s">
        <v>823</v>
      </c>
      <c r="B68" t="s">
        <v>685</v>
      </c>
      <c r="C68" t="s">
        <v>681</v>
      </c>
      <c r="D68" t="s">
        <v>719</v>
      </c>
      <c r="E68" t="s">
        <v>752</v>
      </c>
      <c r="F68">
        <v>-18.612490706375201</v>
      </c>
      <c r="G68">
        <v>999</v>
      </c>
      <c r="H68">
        <v>1956.55665498233</v>
      </c>
      <c r="I68">
        <v>27636.0255506596</v>
      </c>
      <c r="J68">
        <v>3.10032843567544E-3</v>
      </c>
      <c r="K68">
        <v>3.2238777278919E-3</v>
      </c>
      <c r="L68">
        <v>2.7292945265393002E-3</v>
      </c>
      <c r="M68">
        <v>2.9139521582078999E-3</v>
      </c>
      <c r="N68">
        <v>2.6334277416239999E-3</v>
      </c>
      <c r="O68">
        <v>2.2870554572049901E-3</v>
      </c>
      <c r="P68">
        <v>2.1249656245890401E-3</v>
      </c>
      <c r="Q68">
        <v>1.9765019913100998E-3</v>
      </c>
      <c r="R68">
        <v>1.8378481239439001E-3</v>
      </c>
      <c r="S68">
        <v>1.70306145063103E-3</v>
      </c>
      <c r="T68">
        <v>1.56781957654659E-3</v>
      </c>
      <c r="U68">
        <v>1.4414191067298699E-3</v>
      </c>
      <c r="V68">
        <v>1.32366879143767E-3</v>
      </c>
      <c r="W68">
        <v>1.21650288740387E-3</v>
      </c>
      <c r="X68">
        <v>1.11931342312574E-3</v>
      </c>
      <c r="Y68">
        <v>1.0302017875503001E-3</v>
      </c>
      <c r="Z68">
        <v>9.48668496877497E-4</v>
      </c>
      <c r="AA68">
        <v>8.7326331770562005E-4</v>
      </c>
      <c r="AB68">
        <v>8.0405617466615701E-4</v>
      </c>
      <c r="AC68">
        <v>7.41412862933108E-4</v>
      </c>
      <c r="AD68">
        <v>6.8358037099275305E-4</v>
      </c>
      <c r="AE68">
        <v>6.3037118806670198E-4</v>
      </c>
      <c r="AF68">
        <v>5.8242310252647905E-4</v>
      </c>
      <c r="AG68">
        <v>5.6460480416564403E-4</v>
      </c>
      <c r="AH68">
        <v>5.47455767277087E-4</v>
      </c>
      <c r="AI68">
        <v>5.3024389212086103E-4</v>
      </c>
      <c r="AJ68">
        <v>5.1243952614368803E-4</v>
      </c>
      <c r="AK68">
        <v>4.9542106628880096E-4</v>
      </c>
      <c r="AL68">
        <v>4.7942729889517E-4</v>
      </c>
      <c r="AM68">
        <v>4.6416371395393999E-4</v>
      </c>
      <c r="AN68">
        <v>4.4932943277744598E-4</v>
      </c>
      <c r="AO68">
        <v>4.3512362282896401E-4</v>
      </c>
      <c r="AP68">
        <v>4.2227360533978999E-4</v>
      </c>
      <c r="AQ68">
        <v>4.08953923571716E-4</v>
      </c>
      <c r="AR68">
        <v>3.9639059950849199E-4</v>
      </c>
      <c r="AS68">
        <v>3.84062931147569E-4</v>
      </c>
    </row>
    <row r="69" spans="1:45" x14ac:dyDescent="0.3">
      <c r="A69" t="s">
        <v>823</v>
      </c>
      <c r="B69" t="s">
        <v>684</v>
      </c>
      <c r="C69" t="s">
        <v>681</v>
      </c>
      <c r="D69" t="s">
        <v>719</v>
      </c>
      <c r="E69" t="s">
        <v>752</v>
      </c>
      <c r="F69">
        <v>-18.612490706375201</v>
      </c>
      <c r="G69">
        <v>999</v>
      </c>
      <c r="H69">
        <v>999</v>
      </c>
      <c r="I69">
        <v>999</v>
      </c>
      <c r="J69">
        <v>-7.6397554948925994E-20</v>
      </c>
      <c r="K69">
        <v>4.65661287307739E-19</v>
      </c>
      <c r="L69">
        <v>1.74622982740402E-19</v>
      </c>
      <c r="M69">
        <v>7.2759576141834297E-20</v>
      </c>
      <c r="N69">
        <v>5.9662852436304097E-19</v>
      </c>
      <c r="O69">
        <v>-2.6193447411060298E-19</v>
      </c>
      <c r="P69">
        <v>8.7311491370201103E-19</v>
      </c>
      <c r="Q69">
        <v>1.1641532182693499E-19</v>
      </c>
      <c r="R69">
        <v>-6.9849193096160898E-19</v>
      </c>
      <c r="S69">
        <v>3.4924596548080401E-19</v>
      </c>
      <c r="T69">
        <v>-3.4924596548080401E-19</v>
      </c>
      <c r="U69">
        <v>7.8580342233181E-19</v>
      </c>
      <c r="V69">
        <v>-3.2014213502407101E-19</v>
      </c>
      <c r="W69">
        <v>-5.8207660913467399E-20</v>
      </c>
      <c r="X69">
        <v>-7.2759576141834304E-19</v>
      </c>
      <c r="Y69">
        <v>-1.74622982740402E-19</v>
      </c>
      <c r="Z69">
        <v>-2.0372681319713599E-19</v>
      </c>
      <c r="AA69">
        <v>1.45519152283669E-19</v>
      </c>
      <c r="AB69">
        <v>1.45519152283669E-19</v>
      </c>
      <c r="AC69">
        <v>-3.7834979593753802E-19</v>
      </c>
      <c r="AD69">
        <v>2.9103830456733699E-19</v>
      </c>
      <c r="AE69">
        <v>1.1641532182693499E-19</v>
      </c>
      <c r="AF69">
        <v>4.65661287307739E-19</v>
      </c>
      <c r="AG69">
        <v>-1.1641532182693499E-19</v>
      </c>
      <c r="AH69">
        <v>1.1641532182693499E-19</v>
      </c>
      <c r="AI69">
        <v>5.8207660913467399E-20</v>
      </c>
      <c r="AJ69">
        <v>-1.74622982740402E-19</v>
      </c>
      <c r="AK69">
        <v>-1.74622982740402E-19</v>
      </c>
      <c r="AL69">
        <v>-1.1641532182693499E-19</v>
      </c>
      <c r="AM69">
        <v>0</v>
      </c>
      <c r="AN69">
        <v>5.8207660913467399E-20</v>
      </c>
      <c r="AO69">
        <v>4.65661287307739E-19</v>
      </c>
      <c r="AP69">
        <v>2.0372681319713599E-19</v>
      </c>
      <c r="AQ69">
        <v>-2.9103830456733699E-19</v>
      </c>
      <c r="AR69">
        <v>0</v>
      </c>
      <c r="AS69">
        <v>2.6193447411060298E-19</v>
      </c>
    </row>
    <row r="70" spans="1:45" x14ac:dyDescent="0.3">
      <c r="A70" t="s">
        <v>823</v>
      </c>
      <c r="B70" t="s">
        <v>682</v>
      </c>
      <c r="C70" t="s">
        <v>681</v>
      </c>
      <c r="D70" t="s">
        <v>719</v>
      </c>
      <c r="E70" t="s">
        <v>752</v>
      </c>
      <c r="F70">
        <v>-18.612490706375201</v>
      </c>
      <c r="G70">
        <v>999</v>
      </c>
      <c r="H70">
        <v>999</v>
      </c>
      <c r="I70">
        <v>999</v>
      </c>
      <c r="J70">
        <v>-7.6397554948925994E-20</v>
      </c>
      <c r="K70">
        <v>4.65661287307739E-19</v>
      </c>
      <c r="L70">
        <v>-1.45519152283669E-19</v>
      </c>
      <c r="M70">
        <v>6.9121597334742501E-19</v>
      </c>
      <c r="N70">
        <v>0</v>
      </c>
      <c r="O70">
        <v>2.2555468603968601E-19</v>
      </c>
      <c r="P70">
        <v>-3.4924596548080401E-19</v>
      </c>
      <c r="Q70">
        <v>-1.1641532182693499E-19</v>
      </c>
      <c r="R70">
        <v>1.60071067512035E-19</v>
      </c>
      <c r="S70">
        <v>-3.4924596548080401E-19</v>
      </c>
      <c r="T70">
        <v>-1.45519152283669E-19</v>
      </c>
      <c r="U70">
        <v>2.6193447411060298E-19</v>
      </c>
      <c r="V70">
        <v>4.3655745685100597E-20</v>
      </c>
      <c r="W70">
        <v>-4.2200554162263901E-19</v>
      </c>
      <c r="X70">
        <v>5.8207660913467399E-20</v>
      </c>
      <c r="Y70">
        <v>-1.74622982740402E-19</v>
      </c>
      <c r="Z70">
        <v>-2.3283064365386998E-19</v>
      </c>
      <c r="AA70">
        <v>-1.1641532182693499E-19</v>
      </c>
      <c r="AB70">
        <v>2.9103830456733699E-20</v>
      </c>
      <c r="AC70">
        <v>-7.2759576141834297E-20</v>
      </c>
      <c r="AD70">
        <v>1.4551915228366901E-20</v>
      </c>
      <c r="AE70">
        <v>-4.3655745685100597E-20</v>
      </c>
      <c r="AF70">
        <v>5.8207660913467399E-20</v>
      </c>
      <c r="AG70">
        <v>5.8207660913467399E-20</v>
      </c>
      <c r="AH70">
        <v>-4.3655745685100597E-20</v>
      </c>
      <c r="AI70">
        <v>5.8207660913467399E-20</v>
      </c>
      <c r="AJ70">
        <v>-7.2759576141834297E-20</v>
      </c>
      <c r="AK70">
        <v>2.9103830456733699E-20</v>
      </c>
      <c r="AL70">
        <v>-2.9103830456733699E-20</v>
      </c>
      <c r="AM70">
        <v>-7.2759576141834297E-20</v>
      </c>
      <c r="AN70">
        <v>0</v>
      </c>
      <c r="AO70">
        <v>4.3655745685100597E-20</v>
      </c>
      <c r="AP70">
        <v>1.1641532182693499E-19</v>
      </c>
      <c r="AQ70">
        <v>-2.9103830456733699E-20</v>
      </c>
      <c r="AR70">
        <v>-8.7311491370201098E-20</v>
      </c>
      <c r="AS70">
        <v>2.9103830456733699E-20</v>
      </c>
    </row>
    <row r="71" spans="1:45" x14ac:dyDescent="0.3">
      <c r="A71" t="s">
        <v>822</v>
      </c>
      <c r="B71" t="s">
        <v>686</v>
      </c>
      <c r="C71" t="s">
        <v>681</v>
      </c>
      <c r="D71" t="s">
        <v>719</v>
      </c>
      <c r="E71" t="s">
        <v>752</v>
      </c>
      <c r="F71">
        <v>-12.483315651962201</v>
      </c>
      <c r="G71">
        <v>999</v>
      </c>
      <c r="H71">
        <v>360.891334177749</v>
      </c>
      <c r="I71">
        <v>5097.52789777406</v>
      </c>
      <c r="J71">
        <v>9.1267746432456304E-4</v>
      </c>
      <c r="K71">
        <v>1.0079127721081E-3</v>
      </c>
      <c r="L71">
        <v>9.7730033427507199E-4</v>
      </c>
      <c r="M71">
        <v>1.19089669153925E-3</v>
      </c>
      <c r="N71">
        <v>1.2084552240229599E-3</v>
      </c>
      <c r="O71">
        <v>1.18788877534545E-3</v>
      </c>
      <c r="P71">
        <v>1.2364586538788499E-3</v>
      </c>
      <c r="Q71">
        <v>1.2864928248546099E-3</v>
      </c>
      <c r="R71">
        <v>1.3325777298247401E-3</v>
      </c>
      <c r="S71">
        <v>1.3690092073847999E-3</v>
      </c>
      <c r="T71">
        <v>1.40081462230539E-3</v>
      </c>
      <c r="U71">
        <v>1.4258434972396E-3</v>
      </c>
      <c r="V71">
        <v>1.4472914164305401E-3</v>
      </c>
      <c r="W71">
        <v>1.4726082105023801E-3</v>
      </c>
      <c r="X71">
        <v>1.4940565362518399E-3</v>
      </c>
      <c r="Y71">
        <v>1.51787712955164E-3</v>
      </c>
      <c r="Z71">
        <v>1.5405724459873699E-3</v>
      </c>
      <c r="AA71">
        <v>1.56265243939777E-3</v>
      </c>
      <c r="AB71">
        <v>1.5819206732809699E-3</v>
      </c>
      <c r="AC71">
        <v>1.60172142530799E-3</v>
      </c>
      <c r="AD71">
        <v>1.6207723210517699E-3</v>
      </c>
      <c r="AE71">
        <v>1.6366550634874101E-3</v>
      </c>
      <c r="AF71">
        <v>1.6541562718152599E-3</v>
      </c>
      <c r="AG71">
        <v>1.67120467926435E-3</v>
      </c>
      <c r="AH71">
        <v>1.68595556521964E-3</v>
      </c>
      <c r="AI71">
        <v>1.6985447462173201E-3</v>
      </c>
      <c r="AJ71">
        <v>1.71302620179948E-3</v>
      </c>
      <c r="AK71">
        <v>1.7246968614034199E-3</v>
      </c>
      <c r="AL71">
        <v>1.7370897598937801E-3</v>
      </c>
      <c r="AM71">
        <v>1.7508598580018E-3</v>
      </c>
      <c r="AN71">
        <v>1.76428804524745E-3</v>
      </c>
      <c r="AO71">
        <v>1.7783755895737501E-3</v>
      </c>
      <c r="AP71">
        <v>1.7909198464316201E-3</v>
      </c>
      <c r="AQ71">
        <v>1.8041710512258001E-3</v>
      </c>
      <c r="AR71">
        <v>1.81476643929059E-3</v>
      </c>
      <c r="AS71">
        <v>1.8265652707775101E-3</v>
      </c>
    </row>
    <row r="72" spans="1:45" x14ac:dyDescent="0.3">
      <c r="A72" t="s">
        <v>822</v>
      </c>
      <c r="B72" t="s">
        <v>685</v>
      </c>
      <c r="C72" t="s">
        <v>681</v>
      </c>
      <c r="D72" t="s">
        <v>719</v>
      </c>
      <c r="E72" t="s">
        <v>752</v>
      </c>
      <c r="F72">
        <v>-12.483315651962201</v>
      </c>
      <c r="G72">
        <v>999</v>
      </c>
      <c r="H72">
        <v>360.891334177749</v>
      </c>
      <c r="I72">
        <v>5097.52789777406</v>
      </c>
      <c r="J72">
        <v>9.1267746432456304E-4</v>
      </c>
      <c r="K72">
        <v>1.0079127721081E-3</v>
      </c>
      <c r="L72">
        <v>9.3197651283217695E-4</v>
      </c>
      <c r="M72">
        <v>1.0836309327967599E-3</v>
      </c>
      <c r="N72">
        <v>1.0484975069593001E-3</v>
      </c>
      <c r="O72">
        <v>9.8417783313316395E-4</v>
      </c>
      <c r="P72">
        <v>9.7838528616646598E-4</v>
      </c>
      <c r="Q72">
        <v>9.7242511655737602E-4</v>
      </c>
      <c r="R72">
        <v>9.6239395046524099E-4</v>
      </c>
      <c r="S72">
        <v>9.44823294409887E-4</v>
      </c>
      <c r="T72">
        <v>9.2383649048950495E-4</v>
      </c>
      <c r="U72">
        <v>8.9855022091181295E-4</v>
      </c>
      <c r="V72">
        <v>8.7149565110618396E-4</v>
      </c>
      <c r="W72">
        <v>8.4740314526340801E-4</v>
      </c>
      <c r="X72">
        <v>8.2177339921091805E-4</v>
      </c>
      <c r="Y72">
        <v>7.98341028113664E-4</v>
      </c>
      <c r="Z72">
        <v>7.7508502509741602E-4</v>
      </c>
      <c r="AA72">
        <v>7.52492451203474E-4</v>
      </c>
      <c r="AB72">
        <v>7.2958597036801797E-4</v>
      </c>
      <c r="AC72">
        <v>7.0811526575831601E-4</v>
      </c>
      <c r="AD72">
        <v>6.8733334022917495E-4</v>
      </c>
      <c r="AE72">
        <v>6.7449196516214198E-4</v>
      </c>
      <c r="AF72">
        <v>6.8139867950819998E-4</v>
      </c>
      <c r="AG72">
        <v>6.8807063275163802E-4</v>
      </c>
      <c r="AH72">
        <v>6.9173677981565398E-4</v>
      </c>
      <c r="AI72">
        <v>6.9466865423107205E-4</v>
      </c>
      <c r="AJ72">
        <v>6.9833848869621398E-4</v>
      </c>
      <c r="AK72">
        <v>7.00916207549963E-4</v>
      </c>
      <c r="AL72">
        <v>7.0379740803109701E-4</v>
      </c>
      <c r="AM72">
        <v>7.0721286263763703E-4</v>
      </c>
      <c r="AN72">
        <v>7.1054144077833199E-4</v>
      </c>
      <c r="AO72">
        <v>7.1417022084509002E-4</v>
      </c>
      <c r="AP72">
        <v>7.1721504939019896E-4</v>
      </c>
      <c r="AQ72">
        <v>7.2058782025776001E-4</v>
      </c>
      <c r="AR72">
        <v>7.2279762159666299E-4</v>
      </c>
      <c r="AS72">
        <v>7.2557524176686001E-4</v>
      </c>
    </row>
    <row r="73" spans="1:45" x14ac:dyDescent="0.3">
      <c r="A73" t="s">
        <v>822</v>
      </c>
      <c r="B73" t="s">
        <v>684</v>
      </c>
      <c r="C73" t="s">
        <v>681</v>
      </c>
      <c r="D73" t="s">
        <v>719</v>
      </c>
      <c r="E73" t="s">
        <v>752</v>
      </c>
      <c r="F73">
        <v>-12.483315651962201</v>
      </c>
      <c r="G73">
        <v>999</v>
      </c>
      <c r="H73">
        <v>999</v>
      </c>
      <c r="I73">
        <v>999</v>
      </c>
      <c r="J73">
        <v>-9.84528014669195E-20</v>
      </c>
      <c r="K73">
        <v>-3.6379788070917102E-21</v>
      </c>
      <c r="L73">
        <v>8.3673512563109401E-20</v>
      </c>
      <c r="M73">
        <v>3.45607986673713E-20</v>
      </c>
      <c r="N73">
        <v>-4.1836756281554698E-19</v>
      </c>
      <c r="O73">
        <v>1.1641532182693499E-19</v>
      </c>
      <c r="P73">
        <v>1.3824319466948501E-19</v>
      </c>
      <c r="Q73">
        <v>-1.01863406598568E-19</v>
      </c>
      <c r="R73">
        <v>5.60248736292124E-19</v>
      </c>
      <c r="S73">
        <v>-6.5483618527650806E-20</v>
      </c>
      <c r="T73">
        <v>5.0931703299284004E-19</v>
      </c>
      <c r="U73">
        <v>-8.7311491370201098E-20</v>
      </c>
      <c r="V73">
        <v>3.3469405025243799E-19</v>
      </c>
      <c r="W73">
        <v>-2.9103830456733699E-20</v>
      </c>
      <c r="X73">
        <v>0</v>
      </c>
      <c r="Y73">
        <v>1.00408215075731E-18</v>
      </c>
      <c r="Z73">
        <v>2.18278728425503E-19</v>
      </c>
      <c r="AA73">
        <v>2.9103830456733699E-19</v>
      </c>
      <c r="AB73">
        <v>-1.1641532182693499E-19</v>
      </c>
      <c r="AC73">
        <v>-3.0559021979570398E-19</v>
      </c>
      <c r="AD73">
        <v>2.0372681319713599E-19</v>
      </c>
      <c r="AE73">
        <v>0</v>
      </c>
      <c r="AF73">
        <v>3.4924596548080401E-19</v>
      </c>
      <c r="AG73">
        <v>-2.3283064365386998E-19</v>
      </c>
      <c r="AH73">
        <v>5.2386894822120702E-19</v>
      </c>
      <c r="AI73">
        <v>-1.1641532182693499E-19</v>
      </c>
      <c r="AJ73">
        <v>5.8207660913467399E-20</v>
      </c>
      <c r="AK73">
        <v>2.3283064365386998E-19</v>
      </c>
      <c r="AL73">
        <v>2.9103830456733699E-20</v>
      </c>
      <c r="AM73">
        <v>0</v>
      </c>
      <c r="AN73">
        <v>-2.0372681319713599E-19</v>
      </c>
      <c r="AO73">
        <v>3.2014213502407101E-19</v>
      </c>
      <c r="AP73">
        <v>2.9103830456733699E-20</v>
      </c>
      <c r="AQ73">
        <v>3.7834979593753802E-19</v>
      </c>
      <c r="AR73">
        <v>-2.9103830456733699E-19</v>
      </c>
      <c r="AS73">
        <v>-1.74622982740402E-19</v>
      </c>
    </row>
    <row r="74" spans="1:45" x14ac:dyDescent="0.3">
      <c r="A74" t="s">
        <v>822</v>
      </c>
      <c r="B74" t="s">
        <v>682</v>
      </c>
      <c r="C74" t="s">
        <v>681</v>
      </c>
      <c r="D74" t="s">
        <v>719</v>
      </c>
      <c r="E74" t="s">
        <v>752</v>
      </c>
      <c r="F74">
        <v>-12.483315651962201</v>
      </c>
      <c r="G74">
        <v>999</v>
      </c>
      <c r="H74">
        <v>999</v>
      </c>
      <c r="I74">
        <v>999</v>
      </c>
      <c r="J74">
        <v>-9.84528014669195E-20</v>
      </c>
      <c r="K74">
        <v>-3.6379788070917102E-21</v>
      </c>
      <c r="L74">
        <v>-1.1641532182693499E-19</v>
      </c>
      <c r="M74">
        <v>5.0931703299283998E-20</v>
      </c>
      <c r="N74">
        <v>2.9103830456733699E-19</v>
      </c>
      <c r="O74">
        <v>6.9121597334742599E-20</v>
      </c>
      <c r="P74">
        <v>-2.3646862246096099E-20</v>
      </c>
      <c r="Q74">
        <v>-8.7311491370201098E-20</v>
      </c>
      <c r="R74">
        <v>2.11002770811319E-19</v>
      </c>
      <c r="S74">
        <v>-7.2759576141834294E-21</v>
      </c>
      <c r="T74">
        <v>-3.63797880709171E-20</v>
      </c>
      <c r="U74">
        <v>6.1845639720559096E-20</v>
      </c>
      <c r="V74">
        <v>8.3673512563109401E-20</v>
      </c>
      <c r="W74">
        <v>1.01863406598568E-19</v>
      </c>
      <c r="X74">
        <v>2.5465851649642002E-19</v>
      </c>
      <c r="Y74">
        <v>-4.3655745685100597E-20</v>
      </c>
      <c r="Z74">
        <v>-1.30967237055302E-19</v>
      </c>
      <c r="AA74">
        <v>2.1827872842550299E-20</v>
      </c>
      <c r="AB74">
        <v>1.01863406598568E-19</v>
      </c>
      <c r="AC74">
        <v>9.4587448984384505E-20</v>
      </c>
      <c r="AD74">
        <v>1.0913936421275099E-19</v>
      </c>
      <c r="AE74">
        <v>-8.0035533756017703E-20</v>
      </c>
      <c r="AF74">
        <v>1.1641532182693499E-19</v>
      </c>
      <c r="AG74">
        <v>-8.7311491370201098E-20</v>
      </c>
      <c r="AH74">
        <v>8.7311491370201098E-20</v>
      </c>
      <c r="AI74">
        <v>-4.3655745685100597E-20</v>
      </c>
      <c r="AJ74">
        <v>0</v>
      </c>
      <c r="AK74">
        <v>7.2759576141834297E-20</v>
      </c>
      <c r="AL74">
        <v>2.0372681319713599E-19</v>
      </c>
      <c r="AM74">
        <v>1.45519152283669E-19</v>
      </c>
      <c r="AN74">
        <v>-4.3655745685100597E-20</v>
      </c>
      <c r="AO74">
        <v>-8.7311491370201098E-20</v>
      </c>
      <c r="AP74">
        <v>2.47382558882236E-19</v>
      </c>
      <c r="AQ74">
        <v>2.9103830456733699E-20</v>
      </c>
      <c r="AR74">
        <v>1.74622982740402E-19</v>
      </c>
      <c r="AS74">
        <v>2.18278728425503E-19</v>
      </c>
    </row>
    <row r="75" spans="1:45" x14ac:dyDescent="0.3">
      <c r="A75" t="s">
        <v>821</v>
      </c>
      <c r="B75" t="s">
        <v>686</v>
      </c>
      <c r="C75" t="s">
        <v>681</v>
      </c>
      <c r="D75" t="s">
        <v>719</v>
      </c>
      <c r="E75" t="s">
        <v>22</v>
      </c>
      <c r="F75">
        <v>-28.4854042809948</v>
      </c>
      <c r="G75">
        <v>999</v>
      </c>
      <c r="H75">
        <v>801.51317567144395</v>
      </c>
      <c r="I75">
        <v>11321.2354703046</v>
      </c>
      <c r="J75">
        <v>7.7502080000000002E-4</v>
      </c>
      <c r="K75">
        <v>8.3318610000000001E-4</v>
      </c>
      <c r="L75">
        <v>8.342833E-4</v>
      </c>
      <c r="M75">
        <v>7.9998210000000001E-4</v>
      </c>
      <c r="N75">
        <v>7.6459740000000003E-4</v>
      </c>
      <c r="O75">
        <v>7.5499689999999995E-4</v>
      </c>
      <c r="P75">
        <v>7.5417400000000003E-4</v>
      </c>
      <c r="Q75">
        <v>7.5389969999999995E-4</v>
      </c>
      <c r="R75">
        <v>7.5225390000000002E-4</v>
      </c>
      <c r="S75">
        <v>7.4759079999999996E-4</v>
      </c>
      <c r="T75">
        <v>7.3991040000000001E-4</v>
      </c>
      <c r="U75">
        <v>7.3195569999999998E-4</v>
      </c>
      <c r="V75">
        <v>7.2180659999999995E-4</v>
      </c>
      <c r="W75">
        <v>7.1467480000000005E-4</v>
      </c>
      <c r="X75">
        <v>7.0752930000000003E-4</v>
      </c>
      <c r="Y75">
        <v>7.0122040000000004E-4</v>
      </c>
      <c r="Z75">
        <v>6.9546009999999999E-4</v>
      </c>
      <c r="AA75">
        <v>6.891512E-4</v>
      </c>
      <c r="AB75">
        <v>6.8229369999999996E-4</v>
      </c>
      <c r="AC75">
        <v>6.7598479999999997E-4</v>
      </c>
      <c r="AD75">
        <v>6.6940160000000001E-4</v>
      </c>
      <c r="AE75">
        <v>6.6199550000000003E-4</v>
      </c>
      <c r="AF75">
        <v>6.5596090000000001E-4</v>
      </c>
      <c r="AG75">
        <v>6.4965200000000002E-4</v>
      </c>
      <c r="AH75">
        <v>6.4389169999999997E-4</v>
      </c>
      <c r="AI75">
        <v>6.3785709999999995E-4</v>
      </c>
      <c r="AJ75">
        <v>6.3290600000000003E-4</v>
      </c>
      <c r="AK75">
        <v>6.2741999999999995E-4</v>
      </c>
      <c r="AL75">
        <v>6.2220829999999996E-4</v>
      </c>
      <c r="AM75">
        <v>6.1754520000000001E-4</v>
      </c>
      <c r="AN75">
        <v>6.1288209999999996E-4</v>
      </c>
      <c r="AO75">
        <v>6.0876759999999995E-4</v>
      </c>
      <c r="AP75">
        <v>6.0492740000000003E-4</v>
      </c>
      <c r="AQ75">
        <v>6.0079920000000002E-4</v>
      </c>
      <c r="AR75">
        <v>5.9641040000000005E-4</v>
      </c>
      <c r="AS75">
        <v>5.9202159999999996E-4</v>
      </c>
    </row>
    <row r="76" spans="1:45" x14ac:dyDescent="0.3">
      <c r="A76" t="s">
        <v>821</v>
      </c>
      <c r="B76" t="s">
        <v>685</v>
      </c>
      <c r="C76" t="s">
        <v>681</v>
      </c>
      <c r="D76" t="s">
        <v>719</v>
      </c>
      <c r="E76" t="s">
        <v>22</v>
      </c>
      <c r="F76">
        <v>-28.4854042809948</v>
      </c>
      <c r="G76">
        <v>999</v>
      </c>
      <c r="H76">
        <v>801.51317567144395</v>
      </c>
      <c r="I76">
        <v>11321.2354703046</v>
      </c>
      <c r="J76">
        <v>7.7502080000000002E-4</v>
      </c>
      <c r="K76">
        <v>8.3318610000000001E-4</v>
      </c>
      <c r="L76">
        <v>7.7319896717715705E-4</v>
      </c>
      <c r="M76">
        <v>6.8984412929182996E-4</v>
      </c>
      <c r="N76">
        <v>6.1277015605500302E-4</v>
      </c>
      <c r="O76">
        <v>5.63010115367313E-4</v>
      </c>
      <c r="P76">
        <v>5.2282874976255101E-4</v>
      </c>
      <c r="Q76">
        <v>4.8545110801055701E-4</v>
      </c>
      <c r="R76">
        <v>4.4936581277711402E-4</v>
      </c>
      <c r="S76">
        <v>4.1361732882523502E-4</v>
      </c>
      <c r="T76">
        <v>3.7838514083609801E-4</v>
      </c>
      <c r="U76">
        <v>3.4521216588569398E-4</v>
      </c>
      <c r="V76">
        <v>3.1326486407700098E-4</v>
      </c>
      <c r="W76">
        <v>2.8450690882493698E-4</v>
      </c>
      <c r="X76">
        <v>2.6754451937128099E-4</v>
      </c>
      <c r="Y76">
        <v>2.6310417615244501E-4</v>
      </c>
      <c r="Z76">
        <v>2.5895275618055102E-4</v>
      </c>
      <c r="AA76">
        <v>2.5468326477114399E-4</v>
      </c>
      <c r="AB76">
        <v>2.5029308446741902E-4</v>
      </c>
      <c r="AC76">
        <v>2.4618296373775698E-4</v>
      </c>
      <c r="AD76">
        <v>2.42047754351348E-4</v>
      </c>
      <c r="AE76">
        <v>2.37687245523394E-4</v>
      </c>
      <c r="AF76">
        <v>2.3388582019987501E-4</v>
      </c>
      <c r="AG76">
        <v>2.30047169727088E-4</v>
      </c>
      <c r="AH76">
        <v>2.2646106600384899E-4</v>
      </c>
      <c r="AI76">
        <v>2.23637086774238E-4</v>
      </c>
      <c r="AJ76">
        <v>2.2201844520151399E-4</v>
      </c>
      <c r="AK76">
        <v>2.2020173501809901E-4</v>
      </c>
      <c r="AL76">
        <v>2.1847562016806901E-4</v>
      </c>
      <c r="AM76">
        <v>2.1693480909505501E-4</v>
      </c>
      <c r="AN76">
        <v>2.1538750497625199E-4</v>
      </c>
      <c r="AO76">
        <v>2.1402665590483999E-4</v>
      </c>
      <c r="AP76">
        <v>2.12756380190662E-4</v>
      </c>
      <c r="AQ76">
        <v>2.1138196118081001E-4</v>
      </c>
      <c r="AR76">
        <v>2.09907730567622E-4</v>
      </c>
      <c r="AS76">
        <v>2.0842826587975301E-4</v>
      </c>
    </row>
    <row r="77" spans="1:45" x14ac:dyDescent="0.3">
      <c r="A77" t="s">
        <v>821</v>
      </c>
      <c r="B77" t="s">
        <v>684</v>
      </c>
      <c r="C77" t="s">
        <v>681</v>
      </c>
      <c r="D77" t="s">
        <v>719</v>
      </c>
      <c r="E77" t="s">
        <v>22</v>
      </c>
      <c r="F77">
        <v>-28.4854042809948</v>
      </c>
      <c r="G77">
        <v>999</v>
      </c>
      <c r="H77">
        <v>856.120340910246</v>
      </c>
      <c r="I77">
        <v>12092.552268080701</v>
      </c>
      <c r="J77">
        <v>9.6877600000000097E-5</v>
      </c>
      <c r="K77">
        <v>7.2759576141834294E-21</v>
      </c>
      <c r="L77">
        <v>9.3321820224894701E-5</v>
      </c>
      <c r="M77">
        <v>1.6828070559296601E-4</v>
      </c>
      <c r="N77">
        <v>2.2755806460766299E-4</v>
      </c>
      <c r="O77">
        <v>2.8101218820927301E-4</v>
      </c>
      <c r="P77">
        <v>3.3027294334203399E-4</v>
      </c>
      <c r="Q77">
        <v>3.73690322209312E-4</v>
      </c>
      <c r="R77">
        <v>4.1121407475133801E-4</v>
      </c>
      <c r="S77">
        <v>4.42453697203585E-4</v>
      </c>
      <c r="T77">
        <v>4.6777791782054299E-4</v>
      </c>
      <c r="U77">
        <v>4.8927479461759996E-4</v>
      </c>
      <c r="V77">
        <v>5.0597881486505198E-4</v>
      </c>
      <c r="W77">
        <v>5.1468153193415798E-4</v>
      </c>
      <c r="X77">
        <v>5.3230580109590202E-4</v>
      </c>
      <c r="Y77">
        <v>5.4755294092688998E-4</v>
      </c>
      <c r="Z77">
        <v>5.6062830791496195E-4</v>
      </c>
      <c r="AA77">
        <v>5.7095930169548598E-4</v>
      </c>
      <c r="AB77">
        <v>5.7879275418129105E-4</v>
      </c>
      <c r="AC77">
        <v>5.8529185742130598E-4</v>
      </c>
      <c r="AD77">
        <v>5.89971410674274E-4</v>
      </c>
      <c r="AE77">
        <v>5.9253537050833196E-4</v>
      </c>
      <c r="AF77">
        <v>5.9512031523058196E-4</v>
      </c>
      <c r="AG77">
        <v>5.9642127740327697E-4</v>
      </c>
      <c r="AH77">
        <v>5.9732052553276502E-4</v>
      </c>
      <c r="AI77">
        <v>5.9717192005287901E-4</v>
      </c>
      <c r="AJ77">
        <v>5.9733284688295895E-4</v>
      </c>
      <c r="AK77">
        <v>5.9634295118325502E-4</v>
      </c>
      <c r="AL77">
        <v>5.9506804485591502E-4</v>
      </c>
      <c r="AM77">
        <v>5.9384235459177502E-4</v>
      </c>
      <c r="AN77">
        <v>5.9220294527874602E-4</v>
      </c>
      <c r="AO77">
        <v>5.9072960841055502E-4</v>
      </c>
      <c r="AP77">
        <v>5.8920426953918499E-4</v>
      </c>
      <c r="AQ77">
        <v>5.8711578130402899E-4</v>
      </c>
      <c r="AR77">
        <v>5.8452015972471104E-4</v>
      </c>
      <c r="AS77">
        <v>5.8170086837297302E-4</v>
      </c>
    </row>
    <row r="78" spans="1:45" x14ac:dyDescent="0.3">
      <c r="A78" t="s">
        <v>821</v>
      </c>
      <c r="B78" t="s">
        <v>682</v>
      </c>
      <c r="C78" t="s">
        <v>681</v>
      </c>
      <c r="D78" t="s">
        <v>719</v>
      </c>
      <c r="E78" t="s">
        <v>22</v>
      </c>
      <c r="F78">
        <v>-28.4854042809948</v>
      </c>
      <c r="G78">
        <v>999</v>
      </c>
      <c r="H78">
        <v>856.120340910246</v>
      </c>
      <c r="I78">
        <v>12092.552268080701</v>
      </c>
      <c r="J78">
        <v>9.6877600000000097E-5</v>
      </c>
      <c r="K78">
        <v>7.2759576141834294E-21</v>
      </c>
      <c r="L78">
        <v>8.3204787940522397E-5</v>
      </c>
      <c r="M78">
        <v>1.3793751231329799E-4</v>
      </c>
      <c r="N78">
        <v>1.73006168029577E-4</v>
      </c>
      <c r="O78">
        <v>1.99865172967924E-4</v>
      </c>
      <c r="P78">
        <v>2.19894099467242E-4</v>
      </c>
      <c r="Q78">
        <v>2.3289760540097E-4</v>
      </c>
      <c r="R78">
        <v>2.39638944894812E-4</v>
      </c>
      <c r="S78">
        <v>2.4066140657118699E-4</v>
      </c>
      <c r="T78">
        <v>2.3691403694436601E-4</v>
      </c>
      <c r="U78">
        <v>2.3013224826647801E-4</v>
      </c>
      <c r="V78">
        <v>2.20461398944754E-4</v>
      </c>
      <c r="W78">
        <v>2.071901028469E-4</v>
      </c>
      <c r="X78">
        <v>2.0393118869196E-4</v>
      </c>
      <c r="Y78">
        <v>2.07615181469938E-4</v>
      </c>
      <c r="Z78">
        <v>2.10493465519527E-4</v>
      </c>
      <c r="AA78">
        <v>2.1237939238586399E-4</v>
      </c>
      <c r="AB78">
        <v>2.13383203925844E-4</v>
      </c>
      <c r="AC78">
        <v>2.1394696993168999E-4</v>
      </c>
      <c r="AD78">
        <v>2.1389913416410399E-4</v>
      </c>
      <c r="AE78">
        <v>2.1313910251518099E-4</v>
      </c>
      <c r="AF78">
        <v>2.1243843275057099E-4</v>
      </c>
      <c r="AG78">
        <v>2.11326948504444E-4</v>
      </c>
      <c r="AH78">
        <v>2.1011961644378999E-4</v>
      </c>
      <c r="AI78">
        <v>2.0937270262714301E-4</v>
      </c>
      <c r="AJ78">
        <v>2.09539777694139E-4</v>
      </c>
      <c r="AK78">
        <v>2.09294920950902E-4</v>
      </c>
      <c r="AL78">
        <v>2.0894597336107399E-4</v>
      </c>
      <c r="AM78">
        <v>2.08608421623022E-4</v>
      </c>
      <c r="AN78">
        <v>2.08120224081407E-4</v>
      </c>
      <c r="AO78">
        <v>2.0768503794297701E-4</v>
      </c>
      <c r="AP78">
        <v>2.07226523109435E-4</v>
      </c>
      <c r="AQ78">
        <v>2.06567711864201E-4</v>
      </c>
      <c r="AR78">
        <v>2.0572298352171701E-4</v>
      </c>
      <c r="AS78">
        <v>2.0479476853724299E-4</v>
      </c>
    </row>
    <row r="79" spans="1:45" x14ac:dyDescent="0.3">
      <c r="A79" t="s">
        <v>820</v>
      </c>
      <c r="B79" t="s">
        <v>686</v>
      </c>
      <c r="C79" t="s">
        <v>681</v>
      </c>
      <c r="D79" t="s">
        <v>719</v>
      </c>
      <c r="E79" t="s">
        <v>21</v>
      </c>
      <c r="F79">
        <v>-15.425361622283701</v>
      </c>
      <c r="G79">
        <v>0</v>
      </c>
      <c r="H79">
        <v>999</v>
      </c>
      <c r="I79">
        <v>999</v>
      </c>
      <c r="J79">
        <v>0.26393787128007001</v>
      </c>
      <c r="K79">
        <v>0.26755050225208898</v>
      </c>
      <c r="L79">
        <v>0.26896715395613802</v>
      </c>
      <c r="M79">
        <v>0.26986925508267201</v>
      </c>
      <c r="N79">
        <v>0.27133268674862598</v>
      </c>
      <c r="O79">
        <v>0.271353313210495</v>
      </c>
      <c r="P79">
        <v>0.26861196068675902</v>
      </c>
      <c r="Q79">
        <v>0.26620101212352298</v>
      </c>
      <c r="R79">
        <v>0.26430596006899698</v>
      </c>
      <c r="S79">
        <v>0.263591069871976</v>
      </c>
      <c r="T79">
        <v>0.26220457657799801</v>
      </c>
      <c r="U79">
        <v>0.26136147422341099</v>
      </c>
      <c r="V79">
        <v>0.26124547174571899</v>
      </c>
      <c r="W79">
        <v>0.26169932436811599</v>
      </c>
      <c r="X79">
        <v>0.26309620836396602</v>
      </c>
      <c r="Y79">
        <v>0.26390299292082198</v>
      </c>
      <c r="Z79">
        <v>0.26462352729007399</v>
      </c>
      <c r="AA79">
        <v>0.26459604832230899</v>
      </c>
      <c r="AB79">
        <v>0.26555648987322999</v>
      </c>
      <c r="AC79">
        <v>0.26633402843963699</v>
      </c>
      <c r="AD79">
        <v>0.267601126640586</v>
      </c>
      <c r="AE79">
        <v>0.26909770869894201</v>
      </c>
      <c r="AF79">
        <v>0.270229639708708</v>
      </c>
      <c r="AG79">
        <v>0.271514109436643</v>
      </c>
      <c r="AH79">
        <v>0.27308184614701497</v>
      </c>
      <c r="AI79">
        <v>0.27454899628085799</v>
      </c>
      <c r="AJ79">
        <v>0.27590291999269101</v>
      </c>
      <c r="AK79">
        <v>0.27731790169549903</v>
      </c>
      <c r="AL79">
        <v>0.278849475899068</v>
      </c>
      <c r="AM79">
        <v>0.28048756567332001</v>
      </c>
      <c r="AN79">
        <v>0.28217620475947303</v>
      </c>
      <c r="AO79">
        <v>0.28398968691311199</v>
      </c>
      <c r="AP79">
        <v>0.286062085558761</v>
      </c>
      <c r="AQ79">
        <v>0.28799497422520098</v>
      </c>
      <c r="AR79">
        <v>0.290064478155868</v>
      </c>
      <c r="AS79">
        <v>0.29199990785795099</v>
      </c>
    </row>
    <row r="80" spans="1:45" x14ac:dyDescent="0.3">
      <c r="A80" t="s">
        <v>820</v>
      </c>
      <c r="B80" t="s">
        <v>685</v>
      </c>
      <c r="C80" t="s">
        <v>681</v>
      </c>
      <c r="D80" t="s">
        <v>719</v>
      </c>
      <c r="E80" t="s">
        <v>21</v>
      </c>
      <c r="F80">
        <v>-15.425361622283701</v>
      </c>
      <c r="G80">
        <v>0</v>
      </c>
      <c r="H80">
        <v>999</v>
      </c>
      <c r="I80">
        <v>999</v>
      </c>
      <c r="J80">
        <v>0.26393787128007001</v>
      </c>
      <c r="K80">
        <v>0.26755050225208898</v>
      </c>
      <c r="L80">
        <v>0.26375317958827799</v>
      </c>
      <c r="M80">
        <v>0.26009051695713697</v>
      </c>
      <c r="N80">
        <v>0.25721654046651798</v>
      </c>
      <c r="O80">
        <v>0.253487839908978</v>
      </c>
      <c r="P80">
        <v>0.247973067604605</v>
      </c>
      <c r="Q80">
        <v>0.24361466142253899</v>
      </c>
      <c r="R80">
        <v>0.24054171317384099</v>
      </c>
      <c r="S80">
        <v>0.23928977359444101</v>
      </c>
      <c r="T80">
        <v>0.23807772694055801</v>
      </c>
      <c r="U80">
        <v>0.237874119688297</v>
      </c>
      <c r="V80">
        <v>0.24023639374554101</v>
      </c>
      <c r="W80">
        <v>0.243300172597469</v>
      </c>
      <c r="X80">
        <v>0.24724407965967901</v>
      </c>
      <c r="Y80">
        <v>0.25076005940260998</v>
      </c>
      <c r="Z80">
        <v>0.254262726989893</v>
      </c>
      <c r="AA80">
        <v>0.25706557446723599</v>
      </c>
      <c r="AB80">
        <v>0.260812027354619</v>
      </c>
      <c r="AC80">
        <v>0.26434086620380698</v>
      </c>
      <c r="AD80">
        <v>0.26829113409876298</v>
      </c>
      <c r="AE80">
        <v>0.27238459968056999</v>
      </c>
      <c r="AF80">
        <v>0.27600831637642997</v>
      </c>
      <c r="AG80">
        <v>0.279680443698681</v>
      </c>
      <c r="AH80">
        <v>0.28353094600284401</v>
      </c>
      <c r="AI80">
        <v>0.28723722686018699</v>
      </c>
      <c r="AJ80">
        <v>0.29077933777107301</v>
      </c>
      <c r="AK80">
        <v>0.294326502284667</v>
      </c>
      <c r="AL80">
        <v>0.297927315084906</v>
      </c>
      <c r="AM80">
        <v>0.30156472546864899</v>
      </c>
      <c r="AN80">
        <v>0.305174054026987</v>
      </c>
      <c r="AO80">
        <v>0.30883940177180003</v>
      </c>
      <c r="AP80">
        <v>0.312702608931128</v>
      </c>
      <c r="AQ80">
        <v>0.31633058355554999</v>
      </c>
      <c r="AR80">
        <v>0.320019161424212</v>
      </c>
      <c r="AS80">
        <v>0.32348820905213899</v>
      </c>
    </row>
    <row r="81" spans="1:45" x14ac:dyDescent="0.3">
      <c r="A81" t="s">
        <v>820</v>
      </c>
      <c r="B81" t="s">
        <v>684</v>
      </c>
      <c r="C81" t="s">
        <v>681</v>
      </c>
      <c r="D81" t="s">
        <v>719</v>
      </c>
      <c r="E81" t="s">
        <v>21</v>
      </c>
      <c r="F81">
        <v>-15.425361622283701</v>
      </c>
      <c r="G81">
        <v>0</v>
      </c>
      <c r="H81">
        <v>999</v>
      </c>
      <c r="I81">
        <v>999</v>
      </c>
      <c r="J81">
        <v>8.7979290426689893E-2</v>
      </c>
      <c r="K81">
        <v>8.9183500750696199E-2</v>
      </c>
      <c r="L81">
        <v>0.26896715395613802</v>
      </c>
      <c r="M81">
        <v>0.26986925508267201</v>
      </c>
      <c r="N81">
        <v>0.27133268674862598</v>
      </c>
      <c r="O81">
        <v>0.271353313210495</v>
      </c>
      <c r="P81">
        <v>0.26861196068675902</v>
      </c>
      <c r="Q81">
        <v>0.26620101212352298</v>
      </c>
      <c r="R81">
        <v>0.26430596006899698</v>
      </c>
      <c r="S81">
        <v>0.263591069871976</v>
      </c>
      <c r="T81">
        <v>0.26220457657799801</v>
      </c>
      <c r="U81">
        <v>0.26136147422341099</v>
      </c>
      <c r="V81">
        <v>0.26124547174571899</v>
      </c>
      <c r="W81">
        <v>0.26169932436811599</v>
      </c>
      <c r="X81">
        <v>0.26309620836396602</v>
      </c>
      <c r="Y81">
        <v>0.26390299292082198</v>
      </c>
      <c r="Z81">
        <v>0.26462352729007399</v>
      </c>
      <c r="AA81">
        <v>0.26459604832230899</v>
      </c>
      <c r="AB81">
        <v>0.26555648987322999</v>
      </c>
      <c r="AC81">
        <v>0.26633402843963699</v>
      </c>
      <c r="AD81">
        <v>0.267601126640586</v>
      </c>
      <c r="AE81">
        <v>0.26909770869894201</v>
      </c>
      <c r="AF81">
        <v>0.270229639708708</v>
      </c>
      <c r="AG81">
        <v>0.271514109436643</v>
      </c>
      <c r="AH81">
        <v>0.27308184614701497</v>
      </c>
      <c r="AI81">
        <v>0.27454899628085799</v>
      </c>
      <c r="AJ81">
        <v>0.27590291999269101</v>
      </c>
      <c r="AK81">
        <v>0.27731790169549903</v>
      </c>
      <c r="AL81">
        <v>0.278849475899068</v>
      </c>
      <c r="AM81">
        <v>0.28048756567332001</v>
      </c>
      <c r="AN81">
        <v>0.28217620475947303</v>
      </c>
      <c r="AO81">
        <v>0.28398968691311199</v>
      </c>
      <c r="AP81">
        <v>0.286062085558761</v>
      </c>
      <c r="AQ81">
        <v>0.28799497422520098</v>
      </c>
      <c r="AR81">
        <v>0.290064478155868</v>
      </c>
      <c r="AS81">
        <v>0.29199990785795099</v>
      </c>
    </row>
    <row r="82" spans="1:45" x14ac:dyDescent="0.3">
      <c r="A82" t="s">
        <v>820</v>
      </c>
      <c r="B82" t="s">
        <v>682</v>
      </c>
      <c r="C82" t="s">
        <v>681</v>
      </c>
      <c r="D82" t="s">
        <v>719</v>
      </c>
      <c r="E82" t="s">
        <v>21</v>
      </c>
      <c r="F82">
        <v>-15.425361622283701</v>
      </c>
      <c r="G82">
        <v>0</v>
      </c>
      <c r="H82">
        <v>999</v>
      </c>
      <c r="I82">
        <v>999</v>
      </c>
      <c r="J82">
        <v>8.7979290426689893E-2</v>
      </c>
      <c r="K82">
        <v>8.9183500750696199E-2</v>
      </c>
      <c r="L82">
        <v>0.26375317958827799</v>
      </c>
      <c r="M82">
        <v>0.26009051695713697</v>
      </c>
      <c r="N82">
        <v>0.25721654046651798</v>
      </c>
      <c r="O82">
        <v>0.253487839908978</v>
      </c>
      <c r="P82">
        <v>0.247973067604605</v>
      </c>
      <c r="Q82">
        <v>0.24361466142253899</v>
      </c>
      <c r="R82">
        <v>0.24054171317384099</v>
      </c>
      <c r="S82">
        <v>0.23928977359444101</v>
      </c>
      <c r="T82">
        <v>0.23807772694055801</v>
      </c>
      <c r="U82">
        <v>0.237874119688297</v>
      </c>
      <c r="V82">
        <v>0.24023639374554101</v>
      </c>
      <c r="W82">
        <v>0.243300172597469</v>
      </c>
      <c r="X82">
        <v>0.24724407965967901</v>
      </c>
      <c r="Y82">
        <v>0.25076005940260998</v>
      </c>
      <c r="Z82">
        <v>0.254262726989893</v>
      </c>
      <c r="AA82">
        <v>0.25706557446723599</v>
      </c>
      <c r="AB82">
        <v>0.260812027354619</v>
      </c>
      <c r="AC82">
        <v>0.26434086620380698</v>
      </c>
      <c r="AD82">
        <v>0.26829113409876298</v>
      </c>
      <c r="AE82">
        <v>0.27238459968056999</v>
      </c>
      <c r="AF82">
        <v>0.27600831637642997</v>
      </c>
      <c r="AG82">
        <v>0.279680443698681</v>
      </c>
      <c r="AH82">
        <v>0.28353094600284401</v>
      </c>
      <c r="AI82">
        <v>0.28723722686018699</v>
      </c>
      <c r="AJ82">
        <v>0.29077933777107301</v>
      </c>
      <c r="AK82">
        <v>0.294326502284667</v>
      </c>
      <c r="AL82">
        <v>0.297927315084906</v>
      </c>
      <c r="AM82">
        <v>0.30156472546864899</v>
      </c>
      <c r="AN82">
        <v>0.305174054026987</v>
      </c>
      <c r="AO82">
        <v>0.30883940177180003</v>
      </c>
      <c r="AP82">
        <v>0.312702608931128</v>
      </c>
      <c r="AQ82">
        <v>0.31633058355554999</v>
      </c>
      <c r="AR82">
        <v>0.320019161424212</v>
      </c>
      <c r="AS82">
        <v>0.32348820905213899</v>
      </c>
    </row>
    <row r="83" spans="1:45" x14ac:dyDescent="0.3">
      <c r="A83" t="s">
        <v>819</v>
      </c>
      <c r="B83" t="s">
        <v>686</v>
      </c>
      <c r="C83" t="s">
        <v>681</v>
      </c>
      <c r="D83" t="s">
        <v>719</v>
      </c>
      <c r="E83" t="s">
        <v>679</v>
      </c>
      <c r="F83">
        <v>999</v>
      </c>
      <c r="G83">
        <v>999</v>
      </c>
      <c r="H83">
        <v>999</v>
      </c>
      <c r="I83">
        <v>999</v>
      </c>
      <c r="J83">
        <v>0.10322832182878</v>
      </c>
      <c r="K83">
        <v>9.7129716459860002E-2</v>
      </c>
      <c r="L83">
        <v>8.9016034299158095E-2</v>
      </c>
      <c r="M83">
        <v>0.110047575093845</v>
      </c>
      <c r="N83">
        <v>0.105721746320247</v>
      </c>
      <c r="O83">
        <v>0.102939580523497</v>
      </c>
      <c r="P83">
        <v>0.102423262692664</v>
      </c>
      <c r="Q83">
        <v>0.101755120454092</v>
      </c>
      <c r="R83">
        <v>0.10097346981477</v>
      </c>
      <c r="S83">
        <v>0.100115760820962</v>
      </c>
      <c r="T83">
        <v>9.9163341599072294E-2</v>
      </c>
      <c r="U83">
        <v>9.8395446626769204E-2</v>
      </c>
      <c r="V83">
        <v>9.7914095692375094E-2</v>
      </c>
      <c r="W83">
        <v>9.75341317710713E-2</v>
      </c>
      <c r="X83">
        <v>9.7309444924253405E-2</v>
      </c>
      <c r="Y83">
        <v>9.7032775583269101E-2</v>
      </c>
      <c r="Z83">
        <v>9.6774903934834094E-2</v>
      </c>
      <c r="AA83">
        <v>9.6390533785214005E-2</v>
      </c>
      <c r="AB83">
        <v>9.6043354920814006E-2</v>
      </c>
      <c r="AC83">
        <v>9.5729934244832199E-2</v>
      </c>
      <c r="AD83">
        <v>9.5475089724297593E-2</v>
      </c>
      <c r="AE83">
        <v>9.5210815375778704E-2</v>
      </c>
      <c r="AF83">
        <v>9.4934150764575703E-2</v>
      </c>
      <c r="AG83">
        <v>9.4714177916070397E-2</v>
      </c>
      <c r="AH83">
        <v>9.4543617911333006E-2</v>
      </c>
      <c r="AI83">
        <v>9.4373875910160804E-2</v>
      </c>
      <c r="AJ83">
        <v>9.41825411355003E-2</v>
      </c>
      <c r="AK83">
        <v>9.4026752146292303E-2</v>
      </c>
      <c r="AL83">
        <v>9.3856490437855905E-2</v>
      </c>
      <c r="AM83">
        <v>9.3686994865252199E-2</v>
      </c>
      <c r="AN83">
        <v>9.3515184897292103E-2</v>
      </c>
      <c r="AO83">
        <v>9.3368603632506195E-2</v>
      </c>
      <c r="AP83">
        <v>9.3213089847514696E-2</v>
      </c>
      <c r="AQ83">
        <v>9.3046237880935703E-2</v>
      </c>
      <c r="AR83">
        <v>9.2865634996356194E-2</v>
      </c>
      <c r="AS83">
        <v>9.2717544791745599E-2</v>
      </c>
    </row>
    <row r="84" spans="1:45" x14ac:dyDescent="0.3">
      <c r="A84" t="s">
        <v>819</v>
      </c>
      <c r="B84" t="s">
        <v>685</v>
      </c>
      <c r="C84" t="s">
        <v>681</v>
      </c>
      <c r="D84" t="s">
        <v>719</v>
      </c>
      <c r="E84" t="s">
        <v>679</v>
      </c>
      <c r="F84">
        <v>999</v>
      </c>
      <c r="G84">
        <v>999</v>
      </c>
      <c r="H84">
        <v>999</v>
      </c>
      <c r="I84">
        <v>999</v>
      </c>
      <c r="J84">
        <v>0.10227793070010401</v>
      </c>
      <c r="K84">
        <v>9.5388819726238402E-2</v>
      </c>
      <c r="L84">
        <v>8.6703843578800593E-2</v>
      </c>
      <c r="M84">
        <v>0.106389359106194</v>
      </c>
      <c r="N84">
        <v>0.10153537055827699</v>
      </c>
      <c r="O84">
        <v>9.8361809863376198E-2</v>
      </c>
      <c r="P84">
        <v>9.7526079894693196E-2</v>
      </c>
      <c r="Q84">
        <v>9.6699989431307296E-2</v>
      </c>
      <c r="R84">
        <v>9.5927165924524702E-2</v>
      </c>
      <c r="S84">
        <v>9.5243885315791907E-2</v>
      </c>
      <c r="T84">
        <v>9.4629568619984394E-2</v>
      </c>
      <c r="U84">
        <v>9.4393887208541499E-2</v>
      </c>
      <c r="V84">
        <v>9.4641411404902703E-2</v>
      </c>
      <c r="W84">
        <v>9.51818209971141E-2</v>
      </c>
      <c r="X84">
        <v>9.6088390326432696E-2</v>
      </c>
      <c r="Y84">
        <v>9.7160241088247501E-2</v>
      </c>
      <c r="Z84">
        <v>9.8444223944174694E-2</v>
      </c>
      <c r="AA84">
        <v>9.9807555600955999E-2</v>
      </c>
      <c r="AB84">
        <v>0.101409037015948</v>
      </c>
      <c r="AC84">
        <v>0.10322070935797301</v>
      </c>
      <c r="AD84">
        <v>0.105284414851622</v>
      </c>
      <c r="AE84">
        <v>0.107521553894421</v>
      </c>
      <c r="AF84">
        <v>0.10989497983930201</v>
      </c>
      <c r="AG84">
        <v>0.11250114384726401</v>
      </c>
      <c r="AH84">
        <v>0.114947098209288</v>
      </c>
      <c r="AI84">
        <v>0.117417385775305</v>
      </c>
      <c r="AJ84">
        <v>0.119933898764536</v>
      </c>
      <c r="AK84">
        <v>0.122565112723575</v>
      </c>
      <c r="AL84">
        <v>0.12521885171941399</v>
      </c>
      <c r="AM84">
        <v>0.12793520259244401</v>
      </c>
      <c r="AN84">
        <v>0.13070807400849199</v>
      </c>
      <c r="AO84">
        <v>0.13354854224872401</v>
      </c>
      <c r="AP84">
        <v>0.136431671249653</v>
      </c>
      <c r="AQ84">
        <v>0.139348175308591</v>
      </c>
      <c r="AR84">
        <v>0.142268983813266</v>
      </c>
      <c r="AS84">
        <v>0.145284592595432</v>
      </c>
    </row>
    <row r="85" spans="1:45" x14ac:dyDescent="0.3">
      <c r="A85" t="s">
        <v>819</v>
      </c>
      <c r="B85" t="s">
        <v>684</v>
      </c>
      <c r="C85" t="s">
        <v>681</v>
      </c>
      <c r="D85" t="s">
        <v>719</v>
      </c>
      <c r="E85" t="s">
        <v>679</v>
      </c>
      <c r="F85">
        <v>999</v>
      </c>
      <c r="G85">
        <v>999</v>
      </c>
      <c r="H85">
        <v>999</v>
      </c>
      <c r="I85">
        <v>999</v>
      </c>
      <c r="J85">
        <v>7.4998604592389301E-2</v>
      </c>
      <c r="K85">
        <v>7.2410360160681697E-2</v>
      </c>
      <c r="L85">
        <v>6.6613127850466206E-2</v>
      </c>
      <c r="M85">
        <v>7.6084601239101102E-2</v>
      </c>
      <c r="N85">
        <v>6.7998277109783095E-2</v>
      </c>
      <c r="O85">
        <v>6.1798067843945099E-2</v>
      </c>
      <c r="P85">
        <v>5.70849462313456E-2</v>
      </c>
      <c r="Q85">
        <v>5.2727596855409599E-2</v>
      </c>
      <c r="R85">
        <v>4.8731408713772101E-2</v>
      </c>
      <c r="S85">
        <v>4.5025420242469499E-2</v>
      </c>
      <c r="T85">
        <v>4.1540348415375697E-2</v>
      </c>
      <c r="U85">
        <v>3.8408015889635799E-2</v>
      </c>
      <c r="V85">
        <v>3.5627920125867997E-2</v>
      </c>
      <c r="W85">
        <v>3.30947870321033E-2</v>
      </c>
      <c r="X85">
        <v>3.08155241316041E-2</v>
      </c>
      <c r="Y85">
        <v>2.8495804560281002E-2</v>
      </c>
      <c r="Z85">
        <v>2.6357690306038899E-2</v>
      </c>
      <c r="AA85">
        <v>2.4315242987268601E-2</v>
      </c>
      <c r="AB85">
        <v>2.2482560079906799E-2</v>
      </c>
      <c r="AC85">
        <v>2.07886440276179E-2</v>
      </c>
      <c r="AD85">
        <v>1.9224132537580398E-2</v>
      </c>
      <c r="AE85">
        <v>1.7812522082920099E-2</v>
      </c>
      <c r="AF85">
        <v>1.6354715533516199E-2</v>
      </c>
      <c r="AG85">
        <v>1.49963032106012E-2</v>
      </c>
      <c r="AH85">
        <v>1.4167812068914201E-2</v>
      </c>
      <c r="AI85">
        <v>1.33560381250544E-2</v>
      </c>
      <c r="AJ85">
        <v>1.24921549011499E-2</v>
      </c>
      <c r="AK85">
        <v>1.1437452695740501E-2</v>
      </c>
      <c r="AL85">
        <v>1.0917041275790801E-2</v>
      </c>
      <c r="AM85">
        <v>1.06828632085071E-2</v>
      </c>
      <c r="AN85">
        <v>1.0177802734719099E-2</v>
      </c>
      <c r="AO85">
        <v>9.6556838598623792E-3</v>
      </c>
      <c r="AP85">
        <v>9.1153385139135096E-3</v>
      </c>
      <c r="AQ85">
        <v>8.5436612024684493E-3</v>
      </c>
      <c r="AR85">
        <v>7.9938017842540298E-3</v>
      </c>
      <c r="AS85">
        <v>7.4723236833110903E-3</v>
      </c>
    </row>
    <row r="86" spans="1:45" x14ac:dyDescent="0.3">
      <c r="A86" t="s">
        <v>819</v>
      </c>
      <c r="B86" t="s">
        <v>682</v>
      </c>
      <c r="C86" t="s">
        <v>681</v>
      </c>
      <c r="D86" t="s">
        <v>719</v>
      </c>
      <c r="E86" t="s">
        <v>679</v>
      </c>
      <c r="F86">
        <v>999</v>
      </c>
      <c r="G86">
        <v>999</v>
      </c>
      <c r="H86">
        <v>999</v>
      </c>
      <c r="I86">
        <v>999</v>
      </c>
      <c r="J86">
        <v>7.3340755749095196E-2</v>
      </c>
      <c r="K86">
        <v>6.9588532165664602E-2</v>
      </c>
      <c r="L86">
        <v>6.2913920267425996E-2</v>
      </c>
      <c r="M86">
        <v>7.0894673181641596E-2</v>
      </c>
      <c r="N86">
        <v>6.2583198829118003E-2</v>
      </c>
      <c r="O86">
        <v>5.62529540982738E-2</v>
      </c>
      <c r="P86">
        <v>5.1393687443189298E-2</v>
      </c>
      <c r="Q86">
        <v>4.70176152565158E-2</v>
      </c>
      <c r="R86">
        <v>4.3117115152619997E-2</v>
      </c>
      <c r="S86">
        <v>3.9621479616824801E-2</v>
      </c>
      <c r="T86">
        <v>3.64096877041446E-2</v>
      </c>
      <c r="U86">
        <v>3.3610486283768101E-2</v>
      </c>
      <c r="V86">
        <v>3.1208542562615401E-2</v>
      </c>
      <c r="W86">
        <v>2.9090688726580199E-2</v>
      </c>
      <c r="X86">
        <v>2.72624462345709E-2</v>
      </c>
      <c r="Y86">
        <v>2.5360902309912801E-2</v>
      </c>
      <c r="Z86">
        <v>2.3652491148891099E-2</v>
      </c>
      <c r="AA86">
        <v>2.2043389290528799E-2</v>
      </c>
      <c r="AB86">
        <v>2.0650900279445099E-2</v>
      </c>
      <c r="AC86">
        <v>1.9392242008974801E-2</v>
      </c>
      <c r="AD86">
        <v>1.82535992968825E-2</v>
      </c>
      <c r="AE86">
        <v>1.7301610395916701E-2</v>
      </c>
      <c r="AF86">
        <v>1.62267048939169E-2</v>
      </c>
      <c r="AG86">
        <v>1.52397738506957E-2</v>
      </c>
      <c r="AH86">
        <v>1.4714725674578599E-2</v>
      </c>
      <c r="AI86">
        <v>1.4169232687362599E-2</v>
      </c>
      <c r="AJ86">
        <v>1.3536876223279299E-2</v>
      </c>
      <c r="AK86">
        <v>1.2641159383191301E-2</v>
      </c>
      <c r="AL86">
        <v>1.2344282556497501E-2</v>
      </c>
      <c r="AM86">
        <v>1.2385163574763399E-2</v>
      </c>
      <c r="AN86">
        <v>1.2106956038470401E-2</v>
      </c>
      <c r="AO86">
        <v>1.17830607679937E-2</v>
      </c>
      <c r="AP86">
        <v>1.14085135793658E-2</v>
      </c>
      <c r="AQ86">
        <v>1.0971761105999201E-2</v>
      </c>
      <c r="AR86">
        <v>1.05309005194029E-2</v>
      </c>
      <c r="AS86">
        <v>1.00966081636015E-2</v>
      </c>
    </row>
    <row r="87" spans="1:45" x14ac:dyDescent="0.3">
      <c r="A87" t="s">
        <v>818</v>
      </c>
      <c r="B87" t="s">
        <v>686</v>
      </c>
      <c r="C87" t="s">
        <v>681</v>
      </c>
      <c r="D87" t="s">
        <v>719</v>
      </c>
      <c r="E87" t="s">
        <v>746</v>
      </c>
      <c r="F87">
        <v>-16.0190681349976</v>
      </c>
      <c r="G87">
        <v>999</v>
      </c>
      <c r="H87">
        <v>262.11940054898099</v>
      </c>
      <c r="I87">
        <v>6447.8548361735502</v>
      </c>
      <c r="J87">
        <v>0.20720447512413401</v>
      </c>
      <c r="K87">
        <v>0.210499011959277</v>
      </c>
      <c r="L87">
        <v>0.19039438268502101</v>
      </c>
      <c r="M87">
        <v>0.19549821158817199</v>
      </c>
      <c r="N87">
        <v>0.171577676640709</v>
      </c>
      <c r="O87">
        <v>0.17923196206022901</v>
      </c>
      <c r="P87">
        <v>0.175147803766495</v>
      </c>
      <c r="Q87">
        <v>0.170797834049255</v>
      </c>
      <c r="R87">
        <v>0.16640812938079699</v>
      </c>
      <c r="S87">
        <v>0.162462983053203</v>
      </c>
      <c r="T87">
        <v>0.15797365631965299</v>
      </c>
      <c r="U87">
        <v>0.153877178800019</v>
      </c>
      <c r="V87">
        <v>0.15035081981443299</v>
      </c>
      <c r="W87">
        <v>0.14725344792296899</v>
      </c>
      <c r="X87">
        <v>0.144760592607862</v>
      </c>
      <c r="Y87">
        <v>0.142164252480287</v>
      </c>
      <c r="Z87">
        <v>0.13955483807792099</v>
      </c>
      <c r="AA87">
        <v>0.13654467560096101</v>
      </c>
      <c r="AB87">
        <v>0.13405669688823799</v>
      </c>
      <c r="AC87">
        <v>0.131637590628086</v>
      </c>
      <c r="AD87">
        <v>0.12951605412336201</v>
      </c>
      <c r="AE87">
        <v>0.12752519262870601</v>
      </c>
      <c r="AF87">
        <v>0.12546991165904001</v>
      </c>
      <c r="AG87">
        <v>0.123541775926094</v>
      </c>
      <c r="AH87">
        <v>0.12179257172428801</v>
      </c>
      <c r="AI87">
        <v>0.12015771263548</v>
      </c>
      <c r="AJ87">
        <v>0.118469641369177</v>
      </c>
      <c r="AK87">
        <v>0.116932236680684</v>
      </c>
      <c r="AL87">
        <v>0.115481172862725</v>
      </c>
      <c r="AM87">
        <v>0.11408656031962</v>
      </c>
      <c r="AN87">
        <v>0.11273399026245901</v>
      </c>
      <c r="AO87">
        <v>0.11150759262835</v>
      </c>
      <c r="AP87">
        <v>0.110364889347993</v>
      </c>
      <c r="AQ87">
        <v>0.10918038912908699</v>
      </c>
      <c r="AR87">
        <v>0.10817613393721601</v>
      </c>
      <c r="AS87">
        <v>0.107284235055445</v>
      </c>
    </row>
    <row r="88" spans="1:45" x14ac:dyDescent="0.3">
      <c r="A88" t="s">
        <v>818</v>
      </c>
      <c r="B88" t="s">
        <v>685</v>
      </c>
      <c r="C88" t="s">
        <v>681</v>
      </c>
      <c r="D88" t="s">
        <v>719</v>
      </c>
      <c r="E88" t="s">
        <v>746</v>
      </c>
      <c r="F88">
        <v>-16.0190681349976</v>
      </c>
      <c r="G88">
        <v>999</v>
      </c>
      <c r="H88">
        <v>262.11940054898099</v>
      </c>
      <c r="I88">
        <v>6447.8548361735502</v>
      </c>
      <c r="J88">
        <v>0.20720447512413401</v>
      </c>
      <c r="K88">
        <v>0.210499011959277</v>
      </c>
      <c r="L88">
        <v>0.188006145354045</v>
      </c>
      <c r="M88">
        <v>0.190766457676422</v>
      </c>
      <c r="N88">
        <v>0.165510181825648</v>
      </c>
      <c r="O88">
        <v>0.17106851836736001</v>
      </c>
      <c r="P88">
        <v>0.16549879187951</v>
      </c>
      <c r="Q88">
        <v>0.15986868730152901</v>
      </c>
      <c r="R88">
        <v>0.154390957927099</v>
      </c>
      <c r="S88">
        <v>0.149501419966835</v>
      </c>
      <c r="T88">
        <v>0.14427491683274599</v>
      </c>
      <c r="U88">
        <v>0.13956103098429401</v>
      </c>
      <c r="V88">
        <v>0.135503228256938</v>
      </c>
      <c r="W88">
        <v>0.13195674613424399</v>
      </c>
      <c r="X88">
        <v>0.129063477150856</v>
      </c>
      <c r="Y88">
        <v>0.12617923949774901</v>
      </c>
      <c r="Z88">
        <v>0.12337725202442</v>
      </c>
      <c r="AA88">
        <v>0.120308624028614</v>
      </c>
      <c r="AB88">
        <v>0.117779519515178</v>
      </c>
      <c r="AC88">
        <v>0.115381424481778</v>
      </c>
      <c r="AD88">
        <v>0.113626603458218</v>
      </c>
      <c r="AE88">
        <v>0.11216313139325</v>
      </c>
      <c r="AF88">
        <v>0.11060385833</v>
      </c>
      <c r="AG88">
        <v>0.10914974001424101</v>
      </c>
      <c r="AH88">
        <v>0.107846489138996</v>
      </c>
      <c r="AI88">
        <v>0.106637091605809</v>
      </c>
      <c r="AJ88">
        <v>0.10537267423763701</v>
      </c>
      <c r="AK88">
        <v>0.104234078311018</v>
      </c>
      <c r="AL88">
        <v>0.103164338381809</v>
      </c>
      <c r="AM88">
        <v>0.102136860136191</v>
      </c>
      <c r="AN88">
        <v>0.10113874650400601</v>
      </c>
      <c r="AO88">
        <v>0.100245647720261</v>
      </c>
      <c r="AP88">
        <v>9.9419848035786906E-2</v>
      </c>
      <c r="AQ88">
        <v>9.8548408523288999E-2</v>
      </c>
      <c r="AR88">
        <v>9.7831831793190702E-2</v>
      </c>
      <c r="AS88">
        <v>9.7209479918800107E-2</v>
      </c>
    </row>
    <row r="89" spans="1:45" x14ac:dyDescent="0.3">
      <c r="A89" t="s">
        <v>818</v>
      </c>
      <c r="B89" t="s">
        <v>684</v>
      </c>
      <c r="C89" t="s">
        <v>681</v>
      </c>
      <c r="D89" t="s">
        <v>719</v>
      </c>
      <c r="E89" t="s">
        <v>746</v>
      </c>
      <c r="F89">
        <v>-16.0190681349976</v>
      </c>
      <c r="G89">
        <v>999</v>
      </c>
      <c r="H89">
        <v>21089.2877975183</v>
      </c>
      <c r="I89">
        <v>518773.75742457301</v>
      </c>
      <c r="J89">
        <v>1.6138000723251E-2</v>
      </c>
      <c r="K89">
        <v>1.6402702718533699E-2</v>
      </c>
      <c r="L89">
        <v>1.5062011713108401E-2</v>
      </c>
      <c r="M89">
        <v>1.43355939166252E-2</v>
      </c>
      <c r="N89">
        <v>1.16148252106749E-2</v>
      </c>
      <c r="O89">
        <v>1.1232830282917401E-2</v>
      </c>
      <c r="P89">
        <v>1.0157302895503499E-2</v>
      </c>
      <c r="Q89">
        <v>9.1690352276267793E-3</v>
      </c>
      <c r="R89">
        <v>8.2718320776025908E-3</v>
      </c>
      <c r="S89">
        <v>7.4840991040480299E-3</v>
      </c>
      <c r="T89">
        <v>6.7431712349292003E-3</v>
      </c>
      <c r="U89">
        <v>6.0860483418706196E-3</v>
      </c>
      <c r="V89">
        <v>5.51001416734312E-3</v>
      </c>
      <c r="W89">
        <v>5.0007344699021803E-3</v>
      </c>
      <c r="X89">
        <v>4.5565316396407596E-3</v>
      </c>
      <c r="Y89">
        <v>4.1596974112909496E-3</v>
      </c>
      <c r="Z89">
        <v>3.7969307205808901E-3</v>
      </c>
      <c r="AA89">
        <v>3.4565642259360599E-3</v>
      </c>
      <c r="AB89">
        <v>3.2540420467074998E-3</v>
      </c>
      <c r="AC89">
        <v>3.11226110876838E-3</v>
      </c>
      <c r="AD89">
        <v>2.8039438111912801E-3</v>
      </c>
      <c r="AE89">
        <v>2.52963757769906E-3</v>
      </c>
      <c r="AF89">
        <v>2.28036996860826E-3</v>
      </c>
      <c r="AG89">
        <v>2.1678115325368202E-3</v>
      </c>
      <c r="AH89">
        <v>1.95426821117813E-3</v>
      </c>
      <c r="AI89">
        <v>1.7609570067094E-3</v>
      </c>
      <c r="AJ89">
        <v>1.5830819691354399E-3</v>
      </c>
      <c r="AK89">
        <v>1.4240171110336799E-3</v>
      </c>
      <c r="AL89">
        <v>1.28066300754485E-3</v>
      </c>
      <c r="AM89">
        <v>1.1512712615549699E-3</v>
      </c>
      <c r="AN89">
        <v>1.02572730440297E-3</v>
      </c>
      <c r="AO89">
        <v>9.0890140033488204E-4</v>
      </c>
      <c r="AP89">
        <v>8.0508529438293598E-4</v>
      </c>
      <c r="AQ89">
        <v>7.1136153725180195E-4</v>
      </c>
      <c r="AR89">
        <v>6.2803670213215201E-4</v>
      </c>
      <c r="AS89">
        <v>5.5454187624595305E-4</v>
      </c>
    </row>
    <row r="90" spans="1:45" x14ac:dyDescent="0.3">
      <c r="A90" t="s">
        <v>818</v>
      </c>
      <c r="B90" t="s">
        <v>682</v>
      </c>
      <c r="C90" t="s">
        <v>681</v>
      </c>
      <c r="D90" t="s">
        <v>719</v>
      </c>
      <c r="E90" t="s">
        <v>746</v>
      </c>
      <c r="F90">
        <v>-16.0190681349976</v>
      </c>
      <c r="G90">
        <v>999</v>
      </c>
      <c r="H90">
        <v>21089.2877975183</v>
      </c>
      <c r="I90">
        <v>518773.75742457301</v>
      </c>
      <c r="J90">
        <v>1.6146378860122702E-2</v>
      </c>
      <c r="K90">
        <v>1.6419272343181999E-2</v>
      </c>
      <c r="L90">
        <v>1.49117307516454E-2</v>
      </c>
      <c r="M90">
        <v>1.4062349150515701E-2</v>
      </c>
      <c r="N90">
        <v>1.12963505370081E-2</v>
      </c>
      <c r="O90">
        <v>1.0836910766446E-2</v>
      </c>
      <c r="P90">
        <v>9.7226853154071206E-3</v>
      </c>
      <c r="Q90">
        <v>8.7099285714449595E-3</v>
      </c>
      <c r="R90">
        <v>7.7998957829233002E-3</v>
      </c>
      <c r="S90">
        <v>7.0069288974792801E-3</v>
      </c>
      <c r="T90">
        <v>6.2700271028395703E-3</v>
      </c>
      <c r="U90">
        <v>5.6220976728028399E-3</v>
      </c>
      <c r="V90">
        <v>5.0584733361179702E-3</v>
      </c>
      <c r="W90">
        <v>4.5641358311853796E-3</v>
      </c>
      <c r="X90">
        <v>4.1359748054758602E-3</v>
      </c>
      <c r="Y90">
        <v>3.7575880920609501E-3</v>
      </c>
      <c r="Z90">
        <v>3.4147493306934699E-3</v>
      </c>
      <c r="AA90">
        <v>3.0962501131382501E-3</v>
      </c>
      <c r="AB90">
        <v>2.904502895775E-3</v>
      </c>
      <c r="AC90">
        <v>2.7688114413015998E-3</v>
      </c>
      <c r="AD90">
        <v>2.4971741466020899E-3</v>
      </c>
      <c r="AE90">
        <v>2.2603852072675301E-3</v>
      </c>
      <c r="AF90">
        <v>2.0442789735088001E-3</v>
      </c>
      <c r="AG90">
        <v>1.94920047148982E-3</v>
      </c>
      <c r="AH90">
        <v>1.7625668389558099E-3</v>
      </c>
      <c r="AI90">
        <v>1.5929087960076401E-3</v>
      </c>
      <c r="AJ90">
        <v>1.43639052038625E-3</v>
      </c>
      <c r="AK90">
        <v>1.29592988208628E-3</v>
      </c>
      <c r="AL90">
        <v>1.1688874514202399E-3</v>
      </c>
      <c r="AM90">
        <v>1.0538045271733E-3</v>
      </c>
      <c r="AN90">
        <v>9.4156205121875597E-4</v>
      </c>
      <c r="AO90">
        <v>8.36574912910576E-4</v>
      </c>
      <c r="AP90">
        <v>7.4293618810508796E-4</v>
      </c>
      <c r="AQ90">
        <v>6.5791165248595595E-4</v>
      </c>
      <c r="AR90">
        <v>5.8214296906085902E-4</v>
      </c>
      <c r="AS90">
        <v>5.1511660512403002E-4</v>
      </c>
    </row>
    <row r="91" spans="1:45" x14ac:dyDescent="0.3">
      <c r="A91" t="s">
        <v>817</v>
      </c>
      <c r="B91" t="s">
        <v>686</v>
      </c>
      <c r="C91" t="s">
        <v>681</v>
      </c>
      <c r="D91" t="s">
        <v>719</v>
      </c>
      <c r="E91" t="s">
        <v>679</v>
      </c>
      <c r="F91">
        <v>-0.16307282461887099</v>
      </c>
      <c r="G91">
        <v>999</v>
      </c>
      <c r="H91">
        <v>82.368768348111104</v>
      </c>
      <c r="I91">
        <v>1609.52872225851</v>
      </c>
      <c r="J91">
        <v>0.14862964265690001</v>
      </c>
      <c r="K91">
        <v>0.13710132646236001</v>
      </c>
      <c r="L91">
        <v>0.12559792445704801</v>
      </c>
      <c r="M91">
        <v>0.16009420272279101</v>
      </c>
      <c r="N91">
        <v>0.15552766527022299</v>
      </c>
      <c r="O91">
        <v>0.14933902012435599</v>
      </c>
      <c r="P91">
        <v>0.14860335348895501</v>
      </c>
      <c r="Q91">
        <v>0.147672765247611</v>
      </c>
      <c r="R91">
        <v>0.146610968755574</v>
      </c>
      <c r="S91">
        <v>0.14537769541395801</v>
      </c>
      <c r="T91">
        <v>0.14407341573891</v>
      </c>
      <c r="U91">
        <v>0.14302293716476799</v>
      </c>
      <c r="V91">
        <v>0.14237805295307401</v>
      </c>
      <c r="W91">
        <v>0.14184372877211801</v>
      </c>
      <c r="X91">
        <v>0.14148082372419199</v>
      </c>
      <c r="Y91">
        <v>0.14105649412812399</v>
      </c>
      <c r="Z91">
        <v>0.14066941409286099</v>
      </c>
      <c r="AA91">
        <v>0.14014591542089899</v>
      </c>
      <c r="AB91">
        <v>0.139602989355571</v>
      </c>
      <c r="AC91">
        <v>0.13911870089172701</v>
      </c>
      <c r="AD91">
        <v>0.138695212567539</v>
      </c>
      <c r="AE91">
        <v>0.13824273553194499</v>
      </c>
      <c r="AF91">
        <v>0.13779047153160501</v>
      </c>
      <c r="AG91">
        <v>0.13741839395099201</v>
      </c>
      <c r="AH91">
        <v>0.13710034995422299</v>
      </c>
      <c r="AI91">
        <v>0.136764069554378</v>
      </c>
      <c r="AJ91">
        <v>0.136404976551286</v>
      </c>
      <c r="AK91">
        <v>0.13608666670111499</v>
      </c>
      <c r="AL91">
        <v>0.13573321138295</v>
      </c>
      <c r="AM91">
        <v>0.135377485301057</v>
      </c>
      <c r="AN91">
        <v>0.13501169881644801</v>
      </c>
      <c r="AO91">
        <v>0.13466794196814</v>
      </c>
      <c r="AP91">
        <v>0.13429670635323099</v>
      </c>
      <c r="AQ91">
        <v>0.133920986171742</v>
      </c>
      <c r="AR91">
        <v>0.13349867558104</v>
      </c>
      <c r="AS91">
        <v>0.133114190682317</v>
      </c>
    </row>
    <row r="92" spans="1:45" x14ac:dyDescent="0.3">
      <c r="A92" t="s">
        <v>817</v>
      </c>
      <c r="B92" t="s">
        <v>685</v>
      </c>
      <c r="C92" t="s">
        <v>681</v>
      </c>
      <c r="D92" t="s">
        <v>719</v>
      </c>
      <c r="E92" t="s">
        <v>679</v>
      </c>
      <c r="F92">
        <v>-0.16307282461887099</v>
      </c>
      <c r="G92">
        <v>999</v>
      </c>
      <c r="H92">
        <v>82.368768348111104</v>
      </c>
      <c r="I92">
        <v>1609.52872225851</v>
      </c>
      <c r="J92">
        <v>0.14458034609352</v>
      </c>
      <c r="K92">
        <v>0.129663292387345</v>
      </c>
      <c r="L92">
        <v>0.115484465330515</v>
      </c>
      <c r="M92">
        <v>0.14309135738384199</v>
      </c>
      <c r="N92">
        <v>0.13513083065018699</v>
      </c>
      <c r="O92">
        <v>0.12627961757964801</v>
      </c>
      <c r="P92">
        <v>0.122376105477461</v>
      </c>
      <c r="Q92">
        <v>0.118517495970589</v>
      </c>
      <c r="R92">
        <v>0.114751781139659</v>
      </c>
      <c r="S92">
        <v>0.11104233375903</v>
      </c>
      <c r="T92">
        <v>0.10745726778860799</v>
      </c>
      <c r="U92">
        <v>0.10423256936527001</v>
      </c>
      <c r="V92">
        <v>0.101462372234231</v>
      </c>
      <c r="W92">
        <v>9.8919460725453295E-2</v>
      </c>
      <c r="X92">
        <v>9.6644441647844401E-2</v>
      </c>
      <c r="Y92">
        <v>9.44743896971139E-2</v>
      </c>
      <c r="Z92">
        <v>9.2471866206183306E-2</v>
      </c>
      <c r="AA92">
        <v>9.0527464665773993E-2</v>
      </c>
      <c r="AB92">
        <v>8.8717972092966599E-2</v>
      </c>
      <c r="AC92">
        <v>8.7088576952530999E-2</v>
      </c>
      <c r="AD92">
        <v>8.5640316109897197E-2</v>
      </c>
      <c r="AE92">
        <v>8.4314460349220396E-2</v>
      </c>
      <c r="AF92">
        <v>8.3122845350213595E-2</v>
      </c>
      <c r="AG92">
        <v>8.2114138276943402E-2</v>
      </c>
      <c r="AH92">
        <v>8.1269910056828099E-2</v>
      </c>
      <c r="AI92">
        <v>8.0541427685087305E-2</v>
      </c>
      <c r="AJ92">
        <v>7.9929506175615894E-2</v>
      </c>
      <c r="AK92">
        <v>7.9470172743447004E-2</v>
      </c>
      <c r="AL92">
        <v>7.9113207817575901E-2</v>
      </c>
      <c r="AM92">
        <v>7.8880984453910397E-2</v>
      </c>
      <c r="AN92">
        <v>7.8767916912765995E-2</v>
      </c>
      <c r="AO92">
        <v>7.8786521259362002E-2</v>
      </c>
      <c r="AP92">
        <v>7.8911425937258403E-2</v>
      </c>
      <c r="AQ92">
        <v>7.9154394729508901E-2</v>
      </c>
      <c r="AR92">
        <v>7.9483384932125201E-2</v>
      </c>
      <c r="AS92">
        <v>7.9951365098288693E-2</v>
      </c>
    </row>
    <row r="93" spans="1:45" x14ac:dyDescent="0.3">
      <c r="A93" t="s">
        <v>817</v>
      </c>
      <c r="B93" t="s">
        <v>684</v>
      </c>
      <c r="C93" t="s">
        <v>681</v>
      </c>
      <c r="D93" t="s">
        <v>719</v>
      </c>
      <c r="E93" t="s">
        <v>679</v>
      </c>
      <c r="F93">
        <v>-0.16307282461887099</v>
      </c>
      <c r="G93">
        <v>999</v>
      </c>
      <c r="H93">
        <v>338.32021145710098</v>
      </c>
      <c r="I93">
        <v>6639.44806896314</v>
      </c>
      <c r="J93">
        <v>0.102923146739478</v>
      </c>
      <c r="K93">
        <v>9.7273024451164397E-2</v>
      </c>
      <c r="L93">
        <v>9.0175477197988005E-2</v>
      </c>
      <c r="M93">
        <v>0.109807878985347</v>
      </c>
      <c r="N93">
        <v>0.101955457075478</v>
      </c>
      <c r="O93">
        <v>9.3116853461700705E-2</v>
      </c>
      <c r="P93">
        <v>8.7849974076813803E-2</v>
      </c>
      <c r="Q93">
        <v>8.2857630218150402E-2</v>
      </c>
      <c r="R93">
        <v>7.8207613192609299E-2</v>
      </c>
      <c r="S93">
        <v>7.3743358008773893E-2</v>
      </c>
      <c r="T93">
        <v>6.9441220948669294E-2</v>
      </c>
      <c r="U93">
        <v>6.5511418091953405E-2</v>
      </c>
      <c r="V93">
        <v>6.1988899399630398E-2</v>
      </c>
      <c r="W93">
        <v>5.8705655926063E-2</v>
      </c>
      <c r="X93">
        <v>5.5696115914136902E-2</v>
      </c>
      <c r="Y93">
        <v>5.2454510551111597E-2</v>
      </c>
      <c r="Z93">
        <v>4.9403063981363897E-2</v>
      </c>
      <c r="AA93">
        <v>4.6395842493370497E-2</v>
      </c>
      <c r="AB93">
        <v>4.36312767301721E-2</v>
      </c>
      <c r="AC93">
        <v>4.1026771637680703E-2</v>
      </c>
      <c r="AD93">
        <v>3.8585343803487701E-2</v>
      </c>
      <c r="AE93">
        <v>3.6415587568363703E-2</v>
      </c>
      <c r="AF93">
        <v>3.3995753866807803E-2</v>
      </c>
      <c r="AG93">
        <v>3.1712095641264003E-2</v>
      </c>
      <c r="AH93">
        <v>2.9591279547338398E-2</v>
      </c>
      <c r="AI93">
        <v>2.7534386915101999E-2</v>
      </c>
      <c r="AJ93">
        <v>2.5478218621996802E-2</v>
      </c>
      <c r="AK93">
        <v>2.3216374569249201E-2</v>
      </c>
      <c r="AL93">
        <v>2.1635648725444899E-2</v>
      </c>
      <c r="AM93">
        <v>2.0715197310949101E-2</v>
      </c>
      <c r="AN93">
        <v>2.0068245201447399E-2</v>
      </c>
      <c r="AO93">
        <v>1.9344623906515802E-2</v>
      </c>
      <c r="AP93">
        <v>1.8568718120939499E-2</v>
      </c>
      <c r="AQ93">
        <v>1.7730242657240498E-2</v>
      </c>
      <c r="AR93">
        <v>1.6901667996359601E-2</v>
      </c>
      <c r="AS93">
        <v>1.6295233295427099E-2</v>
      </c>
    </row>
    <row r="94" spans="1:45" x14ac:dyDescent="0.3">
      <c r="A94" t="s">
        <v>817</v>
      </c>
      <c r="B94" t="s">
        <v>682</v>
      </c>
      <c r="C94" t="s">
        <v>681</v>
      </c>
      <c r="D94" t="s">
        <v>719</v>
      </c>
      <c r="E94" t="s">
        <v>679</v>
      </c>
      <c r="F94">
        <v>-0.16307282461887099</v>
      </c>
      <c r="G94">
        <v>999</v>
      </c>
      <c r="H94">
        <v>338.32021145710098</v>
      </c>
      <c r="I94">
        <v>6639.44806896314</v>
      </c>
      <c r="J94">
        <v>9.8670904319343902E-2</v>
      </c>
      <c r="K94">
        <v>8.9444661772170905E-2</v>
      </c>
      <c r="L94">
        <v>7.9547575625140393E-2</v>
      </c>
      <c r="M94">
        <v>9.4389246462874499E-2</v>
      </c>
      <c r="N94">
        <v>8.5432222207023997E-2</v>
      </c>
      <c r="O94">
        <v>7.5986345660000107E-2</v>
      </c>
      <c r="P94">
        <v>6.9757902595611904E-2</v>
      </c>
      <c r="Q94">
        <v>6.4032865509383294E-2</v>
      </c>
      <c r="R94">
        <v>5.8849585118550901E-2</v>
      </c>
      <c r="S94">
        <v>5.4083317739196897E-2</v>
      </c>
      <c r="T94">
        <v>4.9623928197848999E-2</v>
      </c>
      <c r="U94">
        <v>4.5630069948242903E-2</v>
      </c>
      <c r="V94">
        <v>4.21014144274778E-2</v>
      </c>
      <c r="W94">
        <v>3.88947239859634E-2</v>
      </c>
      <c r="X94">
        <v>3.6026534851149102E-2</v>
      </c>
      <c r="Y94">
        <v>3.3042380308517499E-2</v>
      </c>
      <c r="Z94">
        <v>3.03167769457574E-2</v>
      </c>
      <c r="AA94">
        <v>2.7726313890055799E-2</v>
      </c>
      <c r="AB94">
        <v>2.5421892768387001E-2</v>
      </c>
      <c r="AC94">
        <v>2.3320622566096402E-2</v>
      </c>
      <c r="AD94">
        <v>2.1419409114232901E-2</v>
      </c>
      <c r="AE94">
        <v>1.9843850242500599E-2</v>
      </c>
      <c r="AF94">
        <v>1.8105831635900099E-2</v>
      </c>
      <c r="AG94">
        <v>1.65316597822023E-2</v>
      </c>
      <c r="AH94">
        <v>1.51540122864301E-2</v>
      </c>
      <c r="AI94">
        <v>1.3846201559266001E-2</v>
      </c>
      <c r="AJ94">
        <v>1.2571144314577299E-2</v>
      </c>
      <c r="AK94">
        <v>1.1203369370019201E-2</v>
      </c>
      <c r="AL94">
        <v>1.0218955831206E-2</v>
      </c>
      <c r="AM94">
        <v>9.6173670432471194E-3</v>
      </c>
      <c r="AN94">
        <v>9.1938593960287692E-3</v>
      </c>
      <c r="AO94">
        <v>8.7564707497588407E-3</v>
      </c>
      <c r="AP94">
        <v>8.3138467621886591E-3</v>
      </c>
      <c r="AQ94">
        <v>7.8583336248631997E-3</v>
      </c>
      <c r="AR94">
        <v>7.4175574243401498E-3</v>
      </c>
      <c r="AS94">
        <v>7.1385769432956098E-3</v>
      </c>
    </row>
    <row r="95" spans="1:45" hidden="1" x14ac:dyDescent="0.3">
      <c r="A95" t="s">
        <v>816</v>
      </c>
      <c r="B95" t="s">
        <v>686</v>
      </c>
      <c r="C95" t="s">
        <v>681</v>
      </c>
      <c r="D95" t="s">
        <v>680</v>
      </c>
      <c r="E95" t="s">
        <v>679</v>
      </c>
      <c r="F95">
        <v>5.4731780497138303</v>
      </c>
      <c r="G95">
        <v>18.1822951148418</v>
      </c>
      <c r="H95">
        <v>20.266669262632899</v>
      </c>
      <c r="I95">
        <v>439.44474994652302</v>
      </c>
      <c r="J95">
        <v>0.51981801587717102</v>
      </c>
      <c r="K95">
        <v>0.46361518321400402</v>
      </c>
      <c r="L95">
        <v>0.41663261102867</v>
      </c>
      <c r="M95">
        <v>0.54772301443620497</v>
      </c>
      <c r="N95">
        <v>0.503133250569609</v>
      </c>
      <c r="O95">
        <v>0.47958286570291903</v>
      </c>
      <c r="P95">
        <v>0.46783809670526499</v>
      </c>
      <c r="Q95">
        <v>0.45617561838144899</v>
      </c>
      <c r="R95">
        <v>0.44489332916831897</v>
      </c>
      <c r="S95">
        <v>0.434643486483407</v>
      </c>
      <c r="T95">
        <v>0.42358182519971699</v>
      </c>
      <c r="U95">
        <v>0.41318970651362702</v>
      </c>
      <c r="V95">
        <v>0.40419028508578297</v>
      </c>
      <c r="W95">
        <v>0.39592517746407002</v>
      </c>
      <c r="X95">
        <v>0.38889868841706399</v>
      </c>
      <c r="Y95">
        <v>0.38177645240113001</v>
      </c>
      <c r="Z95">
        <v>0.37468300821670603</v>
      </c>
      <c r="AA95">
        <v>0.36706625258884901</v>
      </c>
      <c r="AB95">
        <v>0.36027919873942499</v>
      </c>
      <c r="AC95">
        <v>0.353777777247684</v>
      </c>
      <c r="AD95">
        <v>0.34785971951594002</v>
      </c>
      <c r="AE95">
        <v>0.34220836067098798</v>
      </c>
      <c r="AF95">
        <v>0.33655245321592803</v>
      </c>
      <c r="AG95">
        <v>0.33107759282412103</v>
      </c>
      <c r="AH95">
        <v>0.32592119209269399</v>
      </c>
      <c r="AI95">
        <v>0.32096721634701803</v>
      </c>
      <c r="AJ95">
        <v>0.31579484761259202</v>
      </c>
      <c r="AK95">
        <v>0.31093292404303202</v>
      </c>
      <c r="AL95">
        <v>0.306124367699383</v>
      </c>
      <c r="AM95">
        <v>0.30136251422034399</v>
      </c>
      <c r="AN95">
        <v>0.29657797562687599</v>
      </c>
      <c r="AO95">
        <v>0.29188908632335497</v>
      </c>
      <c r="AP95">
        <v>0.28717188776438701</v>
      </c>
      <c r="AQ95">
        <v>0.28242051778544902</v>
      </c>
      <c r="AR95">
        <v>0.27822795797588301</v>
      </c>
      <c r="AS95">
        <v>0.27442726314903199</v>
      </c>
    </row>
    <row r="96" spans="1:45" hidden="1" x14ac:dyDescent="0.3">
      <c r="A96" t="s">
        <v>816</v>
      </c>
      <c r="B96" t="s">
        <v>685</v>
      </c>
      <c r="C96" t="s">
        <v>681</v>
      </c>
      <c r="D96" t="s">
        <v>680</v>
      </c>
      <c r="E96" t="s">
        <v>679</v>
      </c>
      <c r="F96">
        <v>5.4731780497138303</v>
      </c>
      <c r="G96">
        <v>18.1822951148418</v>
      </c>
      <c r="H96">
        <v>20.266669262632899</v>
      </c>
      <c r="I96">
        <v>439.44474994652302</v>
      </c>
      <c r="J96">
        <v>0.51981801587717102</v>
      </c>
      <c r="K96">
        <v>0.46361518321400402</v>
      </c>
      <c r="L96">
        <v>0.40904929803656498</v>
      </c>
      <c r="M96">
        <v>0.52798370746845902</v>
      </c>
      <c r="N96">
        <v>0.476026313254028</v>
      </c>
      <c r="O96">
        <v>0.44519021878277698</v>
      </c>
      <c r="P96">
        <v>0.42594269028405302</v>
      </c>
      <c r="Q96">
        <v>0.40718760790965097</v>
      </c>
      <c r="R96">
        <v>0.38918116193928698</v>
      </c>
      <c r="S96">
        <v>0.37246195091857398</v>
      </c>
      <c r="T96">
        <v>0.35542720478995699</v>
      </c>
      <c r="U96">
        <v>0.33933695124421398</v>
      </c>
      <c r="V96">
        <v>0.32473636170676201</v>
      </c>
      <c r="W96">
        <v>0.31103369232714501</v>
      </c>
      <c r="X96">
        <v>0.298576828140587</v>
      </c>
      <c r="Y96">
        <v>0.28629883086401797</v>
      </c>
      <c r="Z96">
        <v>0.274295995851215</v>
      </c>
      <c r="AA96">
        <v>0.26217244957387298</v>
      </c>
      <c r="AB96">
        <v>0.25089843400213602</v>
      </c>
      <c r="AC96">
        <v>0.24006036478817899</v>
      </c>
      <c r="AD96">
        <v>0.22983967574186701</v>
      </c>
      <c r="AE96">
        <v>0.22000156979326899</v>
      </c>
      <c r="AF96">
        <v>0.21036223194464901</v>
      </c>
      <c r="AG96">
        <v>0.20103460169854001</v>
      </c>
      <c r="AH96">
        <v>0.192089978446389</v>
      </c>
      <c r="AI96">
        <v>0.18344500246064199</v>
      </c>
      <c r="AJ96">
        <v>0.17485583431363</v>
      </c>
      <c r="AK96">
        <v>0.16661754566435399</v>
      </c>
      <c r="AL96">
        <v>0.15858035086916999</v>
      </c>
      <c r="AM96">
        <v>0.150738060691989</v>
      </c>
      <c r="AN96">
        <v>0.143054706591799</v>
      </c>
      <c r="AO96">
        <v>0.135586470448019</v>
      </c>
      <c r="AP96">
        <v>0.12827286451449799</v>
      </c>
      <c r="AQ96">
        <v>0.121112889758746</v>
      </c>
      <c r="AR96">
        <v>0.114352091056085</v>
      </c>
      <c r="AS96">
        <v>0.107894928385913</v>
      </c>
    </row>
    <row r="97" spans="1:45" hidden="1" x14ac:dyDescent="0.3">
      <c r="A97" t="s">
        <v>816</v>
      </c>
      <c r="B97" t="s">
        <v>684</v>
      </c>
      <c r="C97" t="s">
        <v>681</v>
      </c>
      <c r="D97" t="s">
        <v>680</v>
      </c>
      <c r="E97" t="s">
        <v>679</v>
      </c>
      <c r="F97">
        <v>5.4731780497138303</v>
      </c>
      <c r="G97">
        <v>18.1822951148418</v>
      </c>
      <c r="H97">
        <v>1060.24945695059</v>
      </c>
      <c r="I97">
        <v>24055.894855210699</v>
      </c>
      <c r="J97">
        <v>0.12464016413536801</v>
      </c>
      <c r="K97">
        <v>0.10815780301316801</v>
      </c>
      <c r="L97">
        <v>1.03725124816012E-2</v>
      </c>
      <c r="M97">
        <v>1.5653178800152798E-2</v>
      </c>
      <c r="N97">
        <v>1.46214214042685E-2</v>
      </c>
      <c r="O97">
        <v>1.3662586277827999E-2</v>
      </c>
      <c r="P97">
        <v>1.3234995079719401E-2</v>
      </c>
      <c r="Q97">
        <v>1.2744104320417299E-2</v>
      </c>
      <c r="R97">
        <v>1.23160438261851E-2</v>
      </c>
      <c r="S97">
        <v>1.1925468521028101E-2</v>
      </c>
      <c r="T97">
        <v>1.15124201493217E-2</v>
      </c>
      <c r="U97">
        <v>1.1112716362817399E-2</v>
      </c>
      <c r="V97">
        <v>1.07552034231354E-2</v>
      </c>
      <c r="W97">
        <v>1.0417547803708399E-2</v>
      </c>
      <c r="X97">
        <v>1.0125345947132099E-2</v>
      </c>
      <c r="Y97">
        <v>9.3679820653281998E-3</v>
      </c>
      <c r="Z97">
        <v>8.7199134710165202E-3</v>
      </c>
      <c r="AA97">
        <v>8.1372506806339298E-3</v>
      </c>
      <c r="AB97">
        <v>7.6403483714456797E-3</v>
      </c>
      <c r="AC97">
        <v>7.1906051525361704E-3</v>
      </c>
      <c r="AD97">
        <v>6.7778180358254196E-3</v>
      </c>
      <c r="AE97">
        <v>6.3964553937102403E-3</v>
      </c>
      <c r="AF97">
        <v>6.0295858164386498E-3</v>
      </c>
      <c r="AG97">
        <v>5.6375102757727199E-3</v>
      </c>
      <c r="AH97">
        <v>5.2960455187185196E-3</v>
      </c>
      <c r="AI97">
        <v>4.9744495633022804E-3</v>
      </c>
      <c r="AJ97">
        <v>4.6690947978370303E-3</v>
      </c>
      <c r="AK97">
        <v>4.3907405060353297E-3</v>
      </c>
      <c r="AL97">
        <v>4.13344014446457E-3</v>
      </c>
      <c r="AM97">
        <v>3.90406827346922E-3</v>
      </c>
      <c r="AN97">
        <v>3.6960678957827101E-3</v>
      </c>
      <c r="AO97">
        <v>3.5172749259349098E-3</v>
      </c>
      <c r="AP97">
        <v>3.3539016258422802E-3</v>
      </c>
      <c r="AQ97">
        <v>3.2042749243353201E-3</v>
      </c>
      <c r="AR97">
        <v>3.1076982665206002E-3</v>
      </c>
      <c r="AS97">
        <v>3.0362990027852301E-3</v>
      </c>
    </row>
    <row r="98" spans="1:45" hidden="1" x14ac:dyDescent="0.3">
      <c r="A98" t="s">
        <v>816</v>
      </c>
      <c r="B98" t="s">
        <v>682</v>
      </c>
      <c r="C98" t="s">
        <v>681</v>
      </c>
      <c r="D98" t="s">
        <v>680</v>
      </c>
      <c r="E98" t="s">
        <v>679</v>
      </c>
      <c r="F98">
        <v>5.4731780497138303</v>
      </c>
      <c r="G98">
        <v>18.1822951148418</v>
      </c>
      <c r="H98">
        <v>1060.24945695059</v>
      </c>
      <c r="I98">
        <v>24055.894855210699</v>
      </c>
      <c r="J98">
        <v>0.12457486690297601</v>
      </c>
      <c r="K98">
        <v>0.108038104236273</v>
      </c>
      <c r="L98">
        <v>1.0161691403427099E-2</v>
      </c>
      <c r="M98">
        <v>1.5047006359019901E-2</v>
      </c>
      <c r="N98">
        <v>1.37816946440161E-2</v>
      </c>
      <c r="O98">
        <v>1.26132114791475E-2</v>
      </c>
      <c r="P98">
        <v>1.1961551256258701E-2</v>
      </c>
      <c r="Q98">
        <v>1.1267709997810601E-2</v>
      </c>
      <c r="R98">
        <v>1.06487192293714E-2</v>
      </c>
      <c r="S98">
        <v>1.00774707548132E-2</v>
      </c>
      <c r="T98">
        <v>9.5027086710805907E-3</v>
      </c>
      <c r="U98">
        <v>8.9542146180900794E-3</v>
      </c>
      <c r="V98">
        <v>8.45457484013689E-3</v>
      </c>
      <c r="W98">
        <v>7.9842474130776796E-3</v>
      </c>
      <c r="X98">
        <v>7.5620995952831102E-3</v>
      </c>
      <c r="Y98">
        <v>6.74928121861157E-3</v>
      </c>
      <c r="Z98">
        <v>6.0555103110649603E-3</v>
      </c>
      <c r="AA98">
        <v>5.4415297392876004E-3</v>
      </c>
      <c r="AB98">
        <v>4.9151438769189397E-3</v>
      </c>
      <c r="AC98">
        <v>4.4451851185602596E-3</v>
      </c>
      <c r="AD98">
        <v>4.0203020104769404E-3</v>
      </c>
      <c r="AE98">
        <v>3.6355176065539499E-3</v>
      </c>
      <c r="AF98">
        <v>3.2782044435224001E-3</v>
      </c>
      <c r="AG98">
        <v>2.9273895556724602E-3</v>
      </c>
      <c r="AH98">
        <v>2.6235773177353699E-3</v>
      </c>
      <c r="AI98">
        <v>2.3457123290325701E-3</v>
      </c>
      <c r="AJ98">
        <v>2.0923497056533498E-3</v>
      </c>
      <c r="AK98">
        <v>1.8666197760735001E-3</v>
      </c>
      <c r="AL98">
        <v>1.6641267688209799E-3</v>
      </c>
      <c r="AM98">
        <v>1.48753181975272E-3</v>
      </c>
      <c r="AN98">
        <v>1.3314444969092401E-3</v>
      </c>
      <c r="AO98">
        <v>1.1986211234098799E-3</v>
      </c>
      <c r="AP98">
        <v>1.0804223401919999E-3</v>
      </c>
      <c r="AQ98">
        <v>9.7483549932962199E-4</v>
      </c>
      <c r="AR98">
        <v>8.9915689972903002E-4</v>
      </c>
      <c r="AS98">
        <v>8.3762606248474899E-4</v>
      </c>
    </row>
    <row r="99" spans="1:45" hidden="1" x14ac:dyDescent="0.3">
      <c r="A99" t="s">
        <v>815</v>
      </c>
      <c r="B99" t="s">
        <v>686</v>
      </c>
      <c r="C99" t="s">
        <v>681</v>
      </c>
      <c r="D99" t="s">
        <v>680</v>
      </c>
      <c r="E99" t="s">
        <v>679</v>
      </c>
      <c r="F99">
        <v>29.942974605665601</v>
      </c>
      <c r="G99">
        <v>3.3396815552405599</v>
      </c>
      <c r="H99">
        <v>3.6629443080629698</v>
      </c>
      <c r="I99">
        <v>79.847527870137995</v>
      </c>
      <c r="J99">
        <v>0</v>
      </c>
      <c r="K99">
        <v>6.8071329809672896E-3</v>
      </c>
      <c r="L99">
        <v>1.2645527895056101E-2</v>
      </c>
      <c r="M99">
        <v>2.6395795431408301E-2</v>
      </c>
      <c r="N99">
        <v>3.3895632104495498E-2</v>
      </c>
      <c r="O99">
        <v>4.1800056328535597E-2</v>
      </c>
      <c r="P99">
        <v>5.01741515347656E-2</v>
      </c>
      <c r="Q99">
        <v>5.82414894967999E-2</v>
      </c>
      <c r="R99">
        <v>6.5912701152056802E-2</v>
      </c>
      <c r="S99">
        <v>7.3361062589953896E-2</v>
      </c>
      <c r="T99">
        <v>8.0429020364200202E-2</v>
      </c>
      <c r="U99">
        <v>8.7178413855113795E-2</v>
      </c>
      <c r="V99">
        <v>9.3791333760161494E-2</v>
      </c>
      <c r="W99">
        <v>0.10027506063798</v>
      </c>
      <c r="X99">
        <v>0.106937731091333</v>
      </c>
      <c r="Y99">
        <v>0.113525422509895</v>
      </c>
      <c r="Z99">
        <v>0.119999499946911</v>
      </c>
      <c r="AA99">
        <v>0.12591387814534499</v>
      </c>
      <c r="AB99">
        <v>0.131954158787458</v>
      </c>
      <c r="AC99">
        <v>0.13802927425117001</v>
      </c>
      <c r="AD99">
        <v>0.14422310316075901</v>
      </c>
      <c r="AE99">
        <v>0.15029637415932801</v>
      </c>
      <c r="AF99">
        <v>0.156187866711127</v>
      </c>
      <c r="AG99">
        <v>0.16199778506169199</v>
      </c>
      <c r="AH99">
        <v>0.16776617385697701</v>
      </c>
      <c r="AI99">
        <v>0.173545624039777</v>
      </c>
      <c r="AJ99">
        <v>0.17909929799886001</v>
      </c>
      <c r="AK99">
        <v>0.18469984568521899</v>
      </c>
      <c r="AL99">
        <v>0.19027771812371899</v>
      </c>
      <c r="AM99">
        <v>0.19588578161905501</v>
      </c>
      <c r="AN99">
        <v>0.201484839167305</v>
      </c>
      <c r="AO99">
        <v>0.20711931811016299</v>
      </c>
      <c r="AP99">
        <v>0.212669067571682</v>
      </c>
      <c r="AQ99">
        <v>0.21805471869033399</v>
      </c>
      <c r="AR99">
        <v>0.22306513313100901</v>
      </c>
      <c r="AS99">
        <v>0.22782912334254601</v>
      </c>
    </row>
    <row r="100" spans="1:45" hidden="1" x14ac:dyDescent="0.3">
      <c r="A100" t="s">
        <v>815</v>
      </c>
      <c r="B100" t="s">
        <v>685</v>
      </c>
      <c r="C100" t="s">
        <v>681</v>
      </c>
      <c r="D100" t="s">
        <v>680</v>
      </c>
      <c r="E100" t="s">
        <v>679</v>
      </c>
      <c r="F100">
        <v>29.942974605665601</v>
      </c>
      <c r="G100">
        <v>3.3396815552405599</v>
      </c>
      <c r="H100">
        <v>3.6629443080629698</v>
      </c>
      <c r="I100">
        <v>79.847527870137995</v>
      </c>
      <c r="J100">
        <v>0</v>
      </c>
      <c r="K100">
        <v>6.8071329809672896E-3</v>
      </c>
      <c r="L100">
        <v>7.5846529860265398E-3</v>
      </c>
      <c r="M100">
        <v>1.2234637101138399E-2</v>
      </c>
      <c r="N100">
        <v>1.3434531830836699E-2</v>
      </c>
      <c r="O100">
        <v>1.4955536725122899E-2</v>
      </c>
      <c r="P100">
        <v>1.6725388512490998E-2</v>
      </c>
      <c r="Q100">
        <v>1.8429377791912199E-2</v>
      </c>
      <c r="R100">
        <v>2.0051441384496101E-2</v>
      </c>
      <c r="S100">
        <v>2.16394162987191E-2</v>
      </c>
      <c r="T100">
        <v>2.3139819572002701E-2</v>
      </c>
      <c r="U100">
        <v>2.4585537502764099E-2</v>
      </c>
      <c r="V100">
        <v>2.6028118354391901E-2</v>
      </c>
      <c r="W100">
        <v>2.7467373118541399E-2</v>
      </c>
      <c r="X100">
        <v>2.8984086434383102E-2</v>
      </c>
      <c r="Y100">
        <v>3.05019916077417E-2</v>
      </c>
      <c r="Z100">
        <v>3.20205421530299E-2</v>
      </c>
      <c r="AA100">
        <v>3.3435866315093203E-2</v>
      </c>
      <c r="AB100">
        <v>3.4917233370729502E-2</v>
      </c>
      <c r="AC100">
        <v>3.6449305101969302E-2</v>
      </c>
      <c r="AD100">
        <v>3.8057999640988799E-2</v>
      </c>
      <c r="AE100">
        <v>3.9679499923194299E-2</v>
      </c>
      <c r="AF100">
        <v>4.13112186526075E-2</v>
      </c>
      <c r="AG100">
        <v>4.2981753745416199E-2</v>
      </c>
      <c r="AH100">
        <v>4.4695894783983697E-2</v>
      </c>
      <c r="AI100">
        <v>4.6487158561705398E-2</v>
      </c>
      <c r="AJ100">
        <v>4.8295208030909698E-2</v>
      </c>
      <c r="AK100">
        <v>5.0184499258102998E-2</v>
      </c>
      <c r="AL100">
        <v>5.2165518651404501E-2</v>
      </c>
      <c r="AM100">
        <v>5.4257117684720801E-2</v>
      </c>
      <c r="AN100">
        <v>5.6435949141179102E-2</v>
      </c>
      <c r="AO100">
        <v>5.8759881503020799E-2</v>
      </c>
      <c r="AP100">
        <v>6.1203648962506997E-2</v>
      </c>
      <c r="AQ100">
        <v>6.3726852616737495E-2</v>
      </c>
      <c r="AR100">
        <v>6.6336654451044502E-2</v>
      </c>
      <c r="AS100">
        <v>6.9076760242589505E-2</v>
      </c>
    </row>
    <row r="101" spans="1:45" hidden="1" x14ac:dyDescent="0.3">
      <c r="A101" t="s">
        <v>815</v>
      </c>
      <c r="B101" t="s">
        <v>684</v>
      </c>
      <c r="C101" t="s">
        <v>681</v>
      </c>
      <c r="D101" t="s">
        <v>680</v>
      </c>
      <c r="E101" t="s">
        <v>679</v>
      </c>
      <c r="F101">
        <v>29.942974605665601</v>
      </c>
      <c r="G101">
        <v>3.3396815552405599</v>
      </c>
      <c r="H101">
        <v>11.6847779876815</v>
      </c>
      <c r="I101">
        <v>244.51469735754199</v>
      </c>
      <c r="J101">
        <v>0</v>
      </c>
      <c r="K101">
        <v>1.8394455894588299E-3</v>
      </c>
      <c r="L101">
        <v>6.4084010502636502E-3</v>
      </c>
      <c r="M101">
        <v>1.48407090354656E-2</v>
      </c>
      <c r="N101">
        <v>1.95236747246741E-2</v>
      </c>
      <c r="O101">
        <v>2.3539335597204801E-2</v>
      </c>
      <c r="P101">
        <v>2.7468102548765201E-2</v>
      </c>
      <c r="Q101">
        <v>3.1131679781942301E-2</v>
      </c>
      <c r="R101">
        <v>3.4627985688542001E-2</v>
      </c>
      <c r="S101">
        <v>3.8018980507635997E-2</v>
      </c>
      <c r="T101">
        <v>4.1338924284419501E-2</v>
      </c>
      <c r="U101">
        <v>4.4398413928904597E-2</v>
      </c>
      <c r="V101">
        <v>4.7303444846562501E-2</v>
      </c>
      <c r="W101">
        <v>5.0043835620547303E-2</v>
      </c>
      <c r="X101">
        <v>5.2788324517402001E-2</v>
      </c>
      <c r="Y101">
        <v>5.5574841038018297E-2</v>
      </c>
      <c r="Z101">
        <v>5.73810673696264E-2</v>
      </c>
      <c r="AA101">
        <v>5.8425020469660499E-2</v>
      </c>
      <c r="AB101">
        <v>5.8967283100805797E-2</v>
      </c>
      <c r="AC101">
        <v>5.8926787977935401E-2</v>
      </c>
      <c r="AD101">
        <v>5.8482698189709401E-2</v>
      </c>
      <c r="AE101">
        <v>5.7798021495680897E-2</v>
      </c>
      <c r="AF101">
        <v>5.6747069112999801E-2</v>
      </c>
      <c r="AG101">
        <v>5.5101674641039503E-2</v>
      </c>
      <c r="AH101">
        <v>5.3205830581538001E-2</v>
      </c>
      <c r="AI101">
        <v>5.1134729909837098E-2</v>
      </c>
      <c r="AJ101">
        <v>4.9080269705001199E-2</v>
      </c>
      <c r="AK101">
        <v>4.7022314550259903E-2</v>
      </c>
      <c r="AL101">
        <v>4.4788384411293E-2</v>
      </c>
      <c r="AM101">
        <v>4.2377716455945298E-2</v>
      </c>
      <c r="AN101">
        <v>4.1961675303599601E-2</v>
      </c>
      <c r="AO101">
        <v>4.2600499372863497E-2</v>
      </c>
      <c r="AP101">
        <v>4.2975417390398299E-2</v>
      </c>
      <c r="AQ101">
        <v>4.3113250761726202E-2</v>
      </c>
      <c r="AR101">
        <v>4.31836824473322E-2</v>
      </c>
      <c r="AS101">
        <v>4.3101031033033102E-2</v>
      </c>
    </row>
    <row r="102" spans="1:45" hidden="1" x14ac:dyDescent="0.3">
      <c r="A102" t="s">
        <v>815</v>
      </c>
      <c r="B102" t="s">
        <v>682</v>
      </c>
      <c r="C102" t="s">
        <v>681</v>
      </c>
      <c r="D102" t="s">
        <v>680</v>
      </c>
      <c r="E102" t="s">
        <v>679</v>
      </c>
      <c r="F102">
        <v>29.942974605665601</v>
      </c>
      <c r="G102">
        <v>3.3396815552405599</v>
      </c>
      <c r="H102">
        <v>11.6847779876815</v>
      </c>
      <c r="I102">
        <v>244.51469735754199</v>
      </c>
      <c r="J102">
        <v>0</v>
      </c>
      <c r="K102">
        <v>1.82040292627615E-3</v>
      </c>
      <c r="L102">
        <v>3.7304101587414601E-3</v>
      </c>
      <c r="M102">
        <v>6.6514177742590603E-3</v>
      </c>
      <c r="N102">
        <v>7.4585472438988198E-3</v>
      </c>
      <c r="O102">
        <v>8.0178889594672304E-3</v>
      </c>
      <c r="P102">
        <v>8.6228046071159196E-3</v>
      </c>
      <c r="Q102">
        <v>9.1939001602826392E-3</v>
      </c>
      <c r="R102">
        <v>9.7672184009799795E-3</v>
      </c>
      <c r="S102">
        <v>1.0345113701124301E-2</v>
      </c>
      <c r="T102">
        <v>1.0938157109673699E-2</v>
      </c>
      <c r="U102">
        <v>1.1482888833872501E-2</v>
      </c>
      <c r="V102">
        <v>1.2009606291429701E-2</v>
      </c>
      <c r="W102">
        <v>1.2514342273296199E-2</v>
      </c>
      <c r="X102">
        <v>1.3036861521701099E-2</v>
      </c>
      <c r="Y102">
        <v>1.3586396295160201E-2</v>
      </c>
      <c r="Z102">
        <v>1.3856166345254099E-2</v>
      </c>
      <c r="AA102">
        <v>1.3942993108250199E-2</v>
      </c>
      <c r="AB102">
        <v>1.39047738883984E-2</v>
      </c>
      <c r="AC102">
        <v>1.3727528069403E-2</v>
      </c>
      <c r="AD102">
        <v>1.34696172464502E-2</v>
      </c>
      <c r="AE102">
        <v>1.3182462964598201E-2</v>
      </c>
      <c r="AF102">
        <v>1.28298006765691E-2</v>
      </c>
      <c r="AG102">
        <v>1.2348141095495299E-2</v>
      </c>
      <c r="AH102">
        <v>1.18295841572977E-2</v>
      </c>
      <c r="AI102">
        <v>1.1304441015621799E-2</v>
      </c>
      <c r="AJ102">
        <v>1.08108818753109E-2</v>
      </c>
      <c r="AK102">
        <v>1.03417370134469E-2</v>
      </c>
      <c r="AL102">
        <v>9.8641975753562192E-3</v>
      </c>
      <c r="AM102">
        <v>9.3754908469346806E-3</v>
      </c>
      <c r="AN102">
        <v>9.3128470988269908E-3</v>
      </c>
      <c r="AO102">
        <v>9.4866507400375496E-3</v>
      </c>
      <c r="AP102">
        <v>9.6250665163183993E-3</v>
      </c>
      <c r="AQ102">
        <v>9.73040758043907E-3</v>
      </c>
      <c r="AR102">
        <v>9.8739939682821395E-3</v>
      </c>
      <c r="AS102">
        <v>1.00289285428267E-2</v>
      </c>
    </row>
    <row r="103" spans="1:45" hidden="1" x14ac:dyDescent="0.3">
      <c r="A103" t="s">
        <v>814</v>
      </c>
      <c r="B103" t="s">
        <v>686</v>
      </c>
      <c r="C103" t="s">
        <v>681</v>
      </c>
      <c r="D103" t="s">
        <v>680</v>
      </c>
      <c r="E103" t="s">
        <v>696</v>
      </c>
      <c r="F103">
        <v>-3.3552755351669599</v>
      </c>
      <c r="G103">
        <v>21.650452815740501</v>
      </c>
      <c r="H103">
        <v>34.098457630572597</v>
      </c>
      <c r="I103">
        <v>838.78536001379803</v>
      </c>
      <c r="J103">
        <v>0.2591995925028</v>
      </c>
      <c r="K103">
        <v>0.2564775487857</v>
      </c>
      <c r="L103">
        <v>0.227550788317821</v>
      </c>
      <c r="M103">
        <v>0.28618690499209198</v>
      </c>
      <c r="N103">
        <v>0.26425748396395998</v>
      </c>
      <c r="O103">
        <v>0.26822605117312498</v>
      </c>
      <c r="P103">
        <v>0.268228601100372</v>
      </c>
      <c r="Q103">
        <v>0.26807756478751399</v>
      </c>
      <c r="R103">
        <v>0.26681598354482799</v>
      </c>
      <c r="S103">
        <v>0.26598769662364202</v>
      </c>
      <c r="T103">
        <v>0.26385512094740299</v>
      </c>
      <c r="U103">
        <v>0.26171663429383801</v>
      </c>
      <c r="V103">
        <v>0.26006229954142401</v>
      </c>
      <c r="W103">
        <v>0.25869397167221497</v>
      </c>
      <c r="X103">
        <v>0.25809565024216902</v>
      </c>
      <c r="Y103">
        <v>0.25718926344474302</v>
      </c>
      <c r="Z103">
        <v>0.25599960115094</v>
      </c>
      <c r="AA103">
        <v>0.25377393647084701</v>
      </c>
      <c r="AB103">
        <v>0.252334372185745</v>
      </c>
      <c r="AC103">
        <v>0.250911629520018</v>
      </c>
      <c r="AD103">
        <v>0.250028343824099</v>
      </c>
      <c r="AE103">
        <v>0.24942557470335999</v>
      </c>
      <c r="AF103">
        <v>0.248642213816405</v>
      </c>
      <c r="AG103">
        <v>0.247956425077271</v>
      </c>
      <c r="AH103">
        <v>0.247394837982639</v>
      </c>
      <c r="AI103">
        <v>0.24683251863752201</v>
      </c>
      <c r="AJ103">
        <v>0.24609948313464999</v>
      </c>
      <c r="AK103">
        <v>0.24545652347647801</v>
      </c>
      <c r="AL103">
        <v>0.244915725922392</v>
      </c>
      <c r="AM103">
        <v>0.244403210920668</v>
      </c>
      <c r="AN103">
        <v>0.24383154698641399</v>
      </c>
      <c r="AO103">
        <v>0.2433480122452</v>
      </c>
      <c r="AP103">
        <v>0.24290095043179599</v>
      </c>
      <c r="AQ103">
        <v>0.24233221723715601</v>
      </c>
      <c r="AR103">
        <v>0.24198626226234901</v>
      </c>
      <c r="AS103">
        <v>0.24176443359526001</v>
      </c>
    </row>
    <row r="104" spans="1:45" hidden="1" x14ac:dyDescent="0.3">
      <c r="A104" t="s">
        <v>814</v>
      </c>
      <c r="B104" t="s">
        <v>685</v>
      </c>
      <c r="C104" t="s">
        <v>681</v>
      </c>
      <c r="D104" t="s">
        <v>680</v>
      </c>
      <c r="E104" t="s">
        <v>696</v>
      </c>
      <c r="F104">
        <v>-3.3552755351669599</v>
      </c>
      <c r="G104">
        <v>21.650452815740501</v>
      </c>
      <c r="H104">
        <v>34.098457630572597</v>
      </c>
      <c r="I104">
        <v>838.78536001379803</v>
      </c>
      <c r="J104">
        <v>0.2591995925028</v>
      </c>
      <c r="K104">
        <v>0.2564775487857</v>
      </c>
      <c r="L104">
        <v>0.22481275470161499</v>
      </c>
      <c r="M104">
        <v>0.28011753535018702</v>
      </c>
      <c r="N104">
        <v>0.25630951495381299</v>
      </c>
      <c r="O104">
        <v>0.25695992627271602</v>
      </c>
      <c r="P104">
        <v>0.25428602938446798</v>
      </c>
      <c r="Q104">
        <v>0.251531317445921</v>
      </c>
      <c r="R104">
        <v>0.24808725248965899</v>
      </c>
      <c r="S104">
        <v>0.245173000307367</v>
      </c>
      <c r="T104">
        <v>0.241171202520681</v>
      </c>
      <c r="U104">
        <v>0.237275444675245</v>
      </c>
      <c r="V104">
        <v>0.23392218859129199</v>
      </c>
      <c r="W104">
        <v>0.23090770872629099</v>
      </c>
      <c r="X104">
        <v>0.22865048363624499</v>
      </c>
      <c r="Y104">
        <v>0.226178181266841</v>
      </c>
      <c r="Z104">
        <v>0.22449052657997901</v>
      </c>
      <c r="AA104">
        <v>0.222576359526342</v>
      </c>
      <c r="AB104">
        <v>0.22133259609864001</v>
      </c>
      <c r="AC104">
        <v>0.22008333667733701</v>
      </c>
      <c r="AD104">
        <v>0.21929016412625099</v>
      </c>
      <c r="AE104">
        <v>0.218731350347838</v>
      </c>
      <c r="AF104">
        <v>0.21799688458841401</v>
      </c>
      <c r="AG104">
        <v>0.21733749603157501</v>
      </c>
      <c r="AH104">
        <v>0.216778968277127</v>
      </c>
      <c r="AI104">
        <v>0.216205066440608</v>
      </c>
      <c r="AJ104">
        <v>0.215473553063534</v>
      </c>
      <c r="AK104">
        <v>0.21481758299853901</v>
      </c>
      <c r="AL104">
        <v>0.21424520942633199</v>
      </c>
      <c r="AM104">
        <v>0.213694224091349</v>
      </c>
      <c r="AN104">
        <v>0.21310112287910599</v>
      </c>
      <c r="AO104">
        <v>0.21258415141883499</v>
      </c>
      <c r="AP104">
        <v>0.212096240338251</v>
      </c>
      <c r="AQ104">
        <v>0.211502805651788</v>
      </c>
      <c r="AR104">
        <v>0.211096658644637</v>
      </c>
      <c r="AS104">
        <v>0.21079506538708401</v>
      </c>
    </row>
    <row r="105" spans="1:45" hidden="1" x14ac:dyDescent="0.3">
      <c r="A105" t="s">
        <v>814</v>
      </c>
      <c r="B105" t="s">
        <v>684</v>
      </c>
      <c r="C105" t="s">
        <v>681</v>
      </c>
      <c r="D105" t="s">
        <v>680</v>
      </c>
      <c r="E105" t="s">
        <v>696</v>
      </c>
      <c r="F105">
        <v>-3.3552755351669599</v>
      </c>
      <c r="G105">
        <v>21.650452815740501</v>
      </c>
      <c r="H105">
        <v>2599.0896524385098</v>
      </c>
      <c r="I105">
        <v>63934.8082381844</v>
      </c>
      <c r="J105">
        <v>0</v>
      </c>
      <c r="K105">
        <v>-3.1432136893272401E-17</v>
      </c>
      <c r="L105">
        <v>1.02138447436273E-3</v>
      </c>
      <c r="M105">
        <v>1.97869825102975E-3</v>
      </c>
      <c r="N105">
        <v>2.3662199908300102E-3</v>
      </c>
      <c r="O105">
        <v>2.8462038842402798E-3</v>
      </c>
      <c r="P105">
        <v>3.0362937499835599E-3</v>
      </c>
      <c r="Q105">
        <v>3.1747948517889301E-3</v>
      </c>
      <c r="R105">
        <v>3.2219612898542302E-3</v>
      </c>
      <c r="S105">
        <v>3.26818133639351E-3</v>
      </c>
      <c r="T105">
        <v>3.1854562877923101E-3</v>
      </c>
      <c r="U105">
        <v>3.1251682278317801E-3</v>
      </c>
      <c r="V105">
        <v>3.0839108905395501E-3</v>
      </c>
      <c r="W105">
        <v>3.0586162111283601E-3</v>
      </c>
      <c r="X105">
        <v>3.1014625712643298E-3</v>
      </c>
      <c r="Y105">
        <v>2.8493175048445001E-3</v>
      </c>
      <c r="Z105">
        <v>2.6998498067890499E-3</v>
      </c>
      <c r="AA105">
        <v>2.5673150512708102E-3</v>
      </c>
      <c r="AB105">
        <v>2.4653022901943099E-3</v>
      </c>
      <c r="AC105">
        <v>2.3731121364552301E-3</v>
      </c>
      <c r="AD105">
        <v>2.2964904791622901E-3</v>
      </c>
      <c r="AE105">
        <v>2.2199604012909601E-3</v>
      </c>
      <c r="AF105">
        <v>2.1235611832245201E-3</v>
      </c>
      <c r="AG105">
        <v>2.0476833628650698E-3</v>
      </c>
      <c r="AH105">
        <v>1.9558724696835698E-3</v>
      </c>
      <c r="AI105">
        <v>1.82453293508914E-3</v>
      </c>
      <c r="AJ105">
        <v>1.6900154347323901E-3</v>
      </c>
      <c r="AK105">
        <v>1.55860292503684E-3</v>
      </c>
      <c r="AL105">
        <v>1.4331445184640899E-3</v>
      </c>
      <c r="AM105">
        <v>1.3133611823898199E-3</v>
      </c>
      <c r="AN105">
        <v>1.18536606840378E-3</v>
      </c>
      <c r="AO105">
        <v>1.0603443360201301E-3</v>
      </c>
      <c r="AP105">
        <v>9.4886420393583502E-4</v>
      </c>
      <c r="AQ105">
        <v>8.49386520364053E-4</v>
      </c>
      <c r="AR105">
        <v>7.6187285782376203E-4</v>
      </c>
      <c r="AS105">
        <v>6.8437469821920496E-4</v>
      </c>
    </row>
    <row r="106" spans="1:45" hidden="1" x14ac:dyDescent="0.3">
      <c r="A106" t="s">
        <v>814</v>
      </c>
      <c r="B106" t="s">
        <v>682</v>
      </c>
      <c r="C106" t="s">
        <v>681</v>
      </c>
      <c r="D106" t="s">
        <v>680</v>
      </c>
      <c r="E106" t="s">
        <v>696</v>
      </c>
      <c r="F106">
        <v>-3.3552755351669599</v>
      </c>
      <c r="G106">
        <v>21.650452815740501</v>
      </c>
      <c r="H106">
        <v>2599.0896524385098</v>
      </c>
      <c r="I106">
        <v>63934.8082381844</v>
      </c>
      <c r="J106">
        <v>0</v>
      </c>
      <c r="K106">
        <v>-3.1432136893272401E-17</v>
      </c>
      <c r="L106">
        <v>9.7928094702892611E-4</v>
      </c>
      <c r="M106">
        <v>1.83881283300253E-3</v>
      </c>
      <c r="N106">
        <v>2.1407234559095698E-3</v>
      </c>
      <c r="O106">
        <v>2.5263022193137098E-3</v>
      </c>
      <c r="P106">
        <v>2.64262224520955E-3</v>
      </c>
      <c r="Q106">
        <v>2.71065242822577E-3</v>
      </c>
      <c r="R106">
        <v>2.7044725530583698E-3</v>
      </c>
      <c r="S106">
        <v>2.69896739985047E-3</v>
      </c>
      <c r="T106">
        <v>2.5892430087354201E-3</v>
      </c>
      <c r="U106">
        <v>2.5021249927543298E-3</v>
      </c>
      <c r="V106">
        <v>2.4340157236551799E-3</v>
      </c>
      <c r="W106">
        <v>2.3818866873799001E-3</v>
      </c>
      <c r="X106">
        <v>2.38542260028737E-3</v>
      </c>
      <c r="Y106">
        <v>2.1725254974703E-3</v>
      </c>
      <c r="Z106">
        <v>2.0502456633168199E-3</v>
      </c>
      <c r="AA106">
        <v>1.9501468106994E-3</v>
      </c>
      <c r="AB106">
        <v>1.87273789398369E-3</v>
      </c>
      <c r="AC106">
        <v>1.8040787980495401E-3</v>
      </c>
      <c r="AD106">
        <v>1.74926993960546E-3</v>
      </c>
      <c r="AE106">
        <v>1.69545180266935E-3</v>
      </c>
      <c r="AF106">
        <v>1.62706168985017E-3</v>
      </c>
      <c r="AG106">
        <v>1.5786489260507801E-3</v>
      </c>
      <c r="AH106">
        <v>1.5163592516647601E-3</v>
      </c>
      <c r="AI106">
        <v>1.4227196001435701E-3</v>
      </c>
      <c r="AJ106">
        <v>1.3255754457023501E-3</v>
      </c>
      <c r="AK106">
        <v>1.2297430971012499E-3</v>
      </c>
      <c r="AL106">
        <v>1.13751107966438E-3</v>
      </c>
      <c r="AM106">
        <v>1.0487902480815199E-3</v>
      </c>
      <c r="AN106">
        <v>9.5200100432885103E-4</v>
      </c>
      <c r="AO106">
        <v>8.5627005498711698E-4</v>
      </c>
      <c r="AP106">
        <v>7.7037798581470703E-4</v>
      </c>
      <c r="AQ106">
        <v>6.9319391004076295E-4</v>
      </c>
      <c r="AR106">
        <v>6.2496128448792903E-4</v>
      </c>
      <c r="AS106">
        <v>5.6421277460650602E-4</v>
      </c>
    </row>
    <row r="107" spans="1:45" hidden="1" x14ac:dyDescent="0.3">
      <c r="A107" t="s">
        <v>813</v>
      </c>
      <c r="B107" t="s">
        <v>686</v>
      </c>
      <c r="C107" t="s">
        <v>681</v>
      </c>
      <c r="D107" t="s">
        <v>680</v>
      </c>
      <c r="E107" t="s">
        <v>696</v>
      </c>
      <c r="F107">
        <v>-8.9367052899830703</v>
      </c>
      <c r="G107">
        <v>38.851520643746298</v>
      </c>
      <c r="H107">
        <v>61.284140349487998</v>
      </c>
      <c r="I107">
        <v>828.06918156506003</v>
      </c>
      <c r="J107">
        <v>0.75914705519445702</v>
      </c>
      <c r="K107">
        <v>0.71320312387753604</v>
      </c>
      <c r="L107">
        <v>0.69099587261847994</v>
      </c>
      <c r="M107">
        <v>0.83377068947618804</v>
      </c>
      <c r="N107">
        <v>0.77116570323860301</v>
      </c>
      <c r="O107">
        <v>0.77164332607074504</v>
      </c>
      <c r="P107">
        <v>0.77063855678912996</v>
      </c>
      <c r="Q107">
        <v>0.76837604435312301</v>
      </c>
      <c r="R107">
        <v>0.76547759417845795</v>
      </c>
      <c r="S107">
        <v>0.76296401648284395</v>
      </c>
      <c r="T107">
        <v>0.75962660139447102</v>
      </c>
      <c r="U107">
        <v>0.757193032387245</v>
      </c>
      <c r="V107">
        <v>0.75655663169722498</v>
      </c>
      <c r="W107">
        <v>0.75701913479942295</v>
      </c>
      <c r="X107">
        <v>0.75920881617907898</v>
      </c>
      <c r="Y107">
        <v>0.76161401957832198</v>
      </c>
      <c r="Z107">
        <v>0.76444460941095604</v>
      </c>
      <c r="AA107">
        <v>0.76597198868184302</v>
      </c>
      <c r="AB107">
        <v>0.76859623282270495</v>
      </c>
      <c r="AC107">
        <v>0.77200850680732502</v>
      </c>
      <c r="AD107">
        <v>0.77637033116093801</v>
      </c>
      <c r="AE107">
        <v>0.78089124960054102</v>
      </c>
      <c r="AF107">
        <v>0.785487983095845</v>
      </c>
      <c r="AG107">
        <v>0.79036532360733702</v>
      </c>
      <c r="AH107">
        <v>0.79542746344787196</v>
      </c>
      <c r="AI107">
        <v>0.80071490231171105</v>
      </c>
      <c r="AJ107">
        <v>0.80564817893367202</v>
      </c>
      <c r="AK107">
        <v>0.81094817962351295</v>
      </c>
      <c r="AL107">
        <v>0.81625290591739896</v>
      </c>
      <c r="AM107">
        <v>0.821604442345375</v>
      </c>
      <c r="AN107">
        <v>0.82687624970310802</v>
      </c>
      <c r="AO107">
        <v>0.83244425389532095</v>
      </c>
      <c r="AP107">
        <v>0.83779234922258705</v>
      </c>
      <c r="AQ107">
        <v>0.84270141311909197</v>
      </c>
      <c r="AR107">
        <v>0.84768945908878401</v>
      </c>
      <c r="AS107">
        <v>0.85307598207759805</v>
      </c>
    </row>
    <row r="108" spans="1:45" hidden="1" x14ac:dyDescent="0.3">
      <c r="A108" t="s">
        <v>813</v>
      </c>
      <c r="B108" t="s">
        <v>685</v>
      </c>
      <c r="C108" t="s">
        <v>681</v>
      </c>
      <c r="D108" t="s">
        <v>680</v>
      </c>
      <c r="E108" t="s">
        <v>696</v>
      </c>
      <c r="F108">
        <v>-8.9367052899830703</v>
      </c>
      <c r="G108">
        <v>38.851520643746298</v>
      </c>
      <c r="H108">
        <v>61.284140349487998</v>
      </c>
      <c r="I108">
        <v>828.06918156506003</v>
      </c>
      <c r="J108">
        <v>0.75914705519445702</v>
      </c>
      <c r="K108">
        <v>0.71320312387753604</v>
      </c>
      <c r="L108">
        <v>0.681253052599612</v>
      </c>
      <c r="M108">
        <v>0.81178475672318795</v>
      </c>
      <c r="N108">
        <v>0.74134958488240299</v>
      </c>
      <c r="O108">
        <v>0.72985267006282495</v>
      </c>
      <c r="P108">
        <v>0.71752468112791001</v>
      </c>
      <c r="Q108">
        <v>0.70401746889785899</v>
      </c>
      <c r="R108">
        <v>0.690509364040788</v>
      </c>
      <c r="S108">
        <v>0.67827005459048095</v>
      </c>
      <c r="T108">
        <v>0.66506238972482501</v>
      </c>
      <c r="U108">
        <v>0.65344601681799597</v>
      </c>
      <c r="V108">
        <v>0.64476218795108597</v>
      </c>
      <c r="W108">
        <v>0.63724922019989705</v>
      </c>
      <c r="X108">
        <v>0.63189329827558505</v>
      </c>
      <c r="Y108">
        <v>0.62664304464276199</v>
      </c>
      <c r="Z108">
        <v>0.62153295705720002</v>
      </c>
      <c r="AA108">
        <v>0.61447759046916695</v>
      </c>
      <c r="AB108">
        <v>0.61148253280661602</v>
      </c>
      <c r="AC108">
        <v>0.60953673560243504</v>
      </c>
      <c r="AD108">
        <v>0.60986059219731703</v>
      </c>
      <c r="AE108">
        <v>0.612755350883466</v>
      </c>
      <c r="AF108">
        <v>0.61528469231268101</v>
      </c>
      <c r="AG108">
        <v>0.618304898278074</v>
      </c>
      <c r="AH108">
        <v>0.62168974793167897</v>
      </c>
      <c r="AI108">
        <v>0.62520800112527197</v>
      </c>
      <c r="AJ108">
        <v>0.628325420301036</v>
      </c>
      <c r="AK108">
        <v>0.63164198861654397</v>
      </c>
      <c r="AL108">
        <v>0.63504043182584102</v>
      </c>
      <c r="AM108">
        <v>0.63851074834367305</v>
      </c>
      <c r="AN108">
        <v>0.64192488893291799</v>
      </c>
      <c r="AO108">
        <v>0.64565772977038105</v>
      </c>
      <c r="AP108">
        <v>0.64948834058359906</v>
      </c>
      <c r="AQ108">
        <v>0.65280637077583403</v>
      </c>
      <c r="AR108">
        <v>0.65635585439050803</v>
      </c>
      <c r="AS108">
        <v>0.66005626940990403</v>
      </c>
    </row>
    <row r="109" spans="1:45" hidden="1" x14ac:dyDescent="0.3">
      <c r="A109" t="s">
        <v>813</v>
      </c>
      <c r="B109" t="s">
        <v>684</v>
      </c>
      <c r="C109" t="s">
        <v>681</v>
      </c>
      <c r="D109" t="s">
        <v>680</v>
      </c>
      <c r="E109" t="s">
        <v>696</v>
      </c>
      <c r="F109">
        <v>-8.9367052899830703</v>
      </c>
      <c r="G109">
        <v>38.851520643746298</v>
      </c>
      <c r="H109">
        <v>24242.8150334401</v>
      </c>
      <c r="I109">
        <v>396576.27214566298</v>
      </c>
      <c r="J109">
        <v>-3.7252902984619097E-18</v>
      </c>
      <c r="K109">
        <v>-1.3253884389996499E-16</v>
      </c>
      <c r="L109">
        <v>4.2307194068524499E-4</v>
      </c>
      <c r="M109">
        <v>7.5057518337271498E-4</v>
      </c>
      <c r="N109">
        <v>9.1579836484076904E-4</v>
      </c>
      <c r="O109">
        <v>1.04909830172837E-3</v>
      </c>
      <c r="P109">
        <v>1.2663353515426101E-3</v>
      </c>
      <c r="Q109">
        <v>1.47029863677185E-3</v>
      </c>
      <c r="R109">
        <v>1.6334046075599201E-3</v>
      </c>
      <c r="S109">
        <v>1.77379598465602E-3</v>
      </c>
      <c r="T109">
        <v>1.84497923343384E-3</v>
      </c>
      <c r="U109">
        <v>1.9162644914338799E-3</v>
      </c>
      <c r="V109">
        <v>1.9867018675170101E-3</v>
      </c>
      <c r="W109">
        <v>2.0592830063120701E-3</v>
      </c>
      <c r="X109">
        <v>2.1709051824479698E-3</v>
      </c>
      <c r="Y109">
        <v>1.8954020533225801E-3</v>
      </c>
      <c r="Z109">
        <v>1.8125108999108401E-3</v>
      </c>
      <c r="AA109">
        <v>1.77553709196373E-3</v>
      </c>
      <c r="AB109">
        <v>1.6947692928459899E-3</v>
      </c>
      <c r="AC109">
        <v>1.64147267530422E-3</v>
      </c>
      <c r="AD109">
        <v>1.6096558711383201E-3</v>
      </c>
      <c r="AE109">
        <v>1.5772037629297199E-3</v>
      </c>
      <c r="AF109">
        <v>1.5510241613875999E-3</v>
      </c>
      <c r="AG109">
        <v>1.53817093710197E-3</v>
      </c>
      <c r="AH109">
        <v>1.51246012801195E-3</v>
      </c>
      <c r="AI109">
        <v>1.4496038979523E-3</v>
      </c>
      <c r="AJ109">
        <v>1.38445076251451E-3</v>
      </c>
      <c r="AK109">
        <v>1.31764098516809E-3</v>
      </c>
      <c r="AL109">
        <v>1.2536587952331701E-3</v>
      </c>
      <c r="AM109">
        <v>1.19218879020819E-3</v>
      </c>
      <c r="AN109">
        <v>1.1237983396293399E-3</v>
      </c>
      <c r="AO109">
        <v>1.0547915698321099E-3</v>
      </c>
      <c r="AP109">
        <v>9.9178299761286197E-4</v>
      </c>
      <c r="AQ109">
        <v>9.3353799522933505E-4</v>
      </c>
      <c r="AR109">
        <v>8.8083635621999899E-4</v>
      </c>
      <c r="AS109">
        <v>8.3400987498581495E-4</v>
      </c>
    </row>
    <row r="110" spans="1:45" hidden="1" x14ac:dyDescent="0.3">
      <c r="A110" t="s">
        <v>813</v>
      </c>
      <c r="B110" t="s">
        <v>682</v>
      </c>
      <c r="C110" t="s">
        <v>681</v>
      </c>
      <c r="D110" t="s">
        <v>680</v>
      </c>
      <c r="E110" t="s">
        <v>696</v>
      </c>
      <c r="F110">
        <v>-8.9367052899830703</v>
      </c>
      <c r="G110">
        <v>38.851520643746298</v>
      </c>
      <c r="H110">
        <v>24242.8150334401</v>
      </c>
      <c r="I110">
        <v>396576.27214566298</v>
      </c>
      <c r="J110">
        <v>-3.7252902984619097E-18</v>
      </c>
      <c r="K110">
        <v>-1.3253884389996499E-16</v>
      </c>
      <c r="L110">
        <v>3.9795339002302499E-4</v>
      </c>
      <c r="M110">
        <v>6.7249355417879305E-4</v>
      </c>
      <c r="N110">
        <v>7.8645256824895796E-4</v>
      </c>
      <c r="O110">
        <v>8.8008631773810902E-4</v>
      </c>
      <c r="P110">
        <v>1.03822574449903E-3</v>
      </c>
      <c r="Q110">
        <v>1.1795703098854799E-3</v>
      </c>
      <c r="R110">
        <v>1.2834005103239501E-3</v>
      </c>
      <c r="S110">
        <v>1.36749264312175E-3</v>
      </c>
      <c r="T110">
        <v>1.3952476085499501E-3</v>
      </c>
      <c r="U110">
        <v>1.42298143214875E-3</v>
      </c>
      <c r="V110">
        <v>1.45026914873769E-3</v>
      </c>
      <c r="W110">
        <v>1.47965999810714E-3</v>
      </c>
      <c r="X110">
        <v>1.5405722525891499E-3</v>
      </c>
      <c r="Y110">
        <v>1.32298126271556E-3</v>
      </c>
      <c r="Z110">
        <v>1.25098909633704E-3</v>
      </c>
      <c r="AA110">
        <v>1.21273436372501E-3</v>
      </c>
      <c r="AB110">
        <v>1.15144892496646E-3</v>
      </c>
      <c r="AC110">
        <v>1.11242816900433E-3</v>
      </c>
      <c r="AD110">
        <v>1.0899883052207301E-3</v>
      </c>
      <c r="AE110">
        <v>1.0704855469253901E-3</v>
      </c>
      <c r="AF110">
        <v>1.05566755524384E-3</v>
      </c>
      <c r="AG110">
        <v>1.05398080054629E-3</v>
      </c>
      <c r="AH110">
        <v>1.0427522336230999E-3</v>
      </c>
      <c r="AI110">
        <v>1.0059347304163799E-3</v>
      </c>
      <c r="AJ110">
        <v>9.6682520938862204E-4</v>
      </c>
      <c r="AK110">
        <v>9.26233416925631E-4</v>
      </c>
      <c r="AL110">
        <v>8.8716514633652805E-4</v>
      </c>
      <c r="AM110">
        <v>8.4945095466542795E-4</v>
      </c>
      <c r="AN110">
        <v>8.05505067784603E-4</v>
      </c>
      <c r="AO110">
        <v>7.6026528259220505E-4</v>
      </c>
      <c r="AP110">
        <v>7.1906434412380101E-4</v>
      </c>
      <c r="AQ110">
        <v>6.8068017409538798E-4</v>
      </c>
      <c r="AR110">
        <v>6.4625801418917602E-4</v>
      </c>
      <c r="AS110">
        <v>6.1570790609939403E-4</v>
      </c>
    </row>
    <row r="111" spans="1:45" hidden="1" x14ac:dyDescent="0.3">
      <c r="A111" t="s">
        <v>812</v>
      </c>
      <c r="B111" t="s">
        <v>686</v>
      </c>
      <c r="C111" t="s">
        <v>681</v>
      </c>
      <c r="D111" t="s">
        <v>680</v>
      </c>
      <c r="E111" t="s">
        <v>746</v>
      </c>
      <c r="F111">
        <v>999</v>
      </c>
      <c r="G111">
        <v>0</v>
      </c>
      <c r="H111">
        <v>-6.7001813028840402</v>
      </c>
      <c r="I111">
        <v>-164.81724913148099</v>
      </c>
      <c r="J111">
        <v>0.47390858853090001</v>
      </c>
      <c r="K111">
        <v>0.49794070649939998</v>
      </c>
      <c r="L111">
        <v>0.45538162337980997</v>
      </c>
      <c r="M111">
        <v>0.497237989580046</v>
      </c>
      <c r="N111">
        <v>0.43834020115161099</v>
      </c>
      <c r="O111">
        <v>0.48715574216680801</v>
      </c>
      <c r="P111">
        <v>0.49088531848497002</v>
      </c>
      <c r="Q111">
        <v>0.49297440422692201</v>
      </c>
      <c r="R111">
        <v>0.49384690508881302</v>
      </c>
      <c r="S111">
        <v>0.49570774545474</v>
      </c>
      <c r="T111">
        <v>0.49571524358802599</v>
      </c>
      <c r="U111">
        <v>0.49681649660363297</v>
      </c>
      <c r="V111">
        <v>0.499596342319582</v>
      </c>
      <c r="W111">
        <v>0.50383599104474397</v>
      </c>
      <c r="X111">
        <v>0.51036997168129705</v>
      </c>
      <c r="Y111">
        <v>0.51700985793212495</v>
      </c>
      <c r="Z111">
        <v>0.52381674626450303</v>
      </c>
      <c r="AA111">
        <v>0.52866690814115402</v>
      </c>
      <c r="AB111">
        <v>0.53549053026350601</v>
      </c>
      <c r="AC111">
        <v>0.54299768492070299</v>
      </c>
      <c r="AD111">
        <v>0.55178363473962</v>
      </c>
      <c r="AE111">
        <v>0.56099283414833401</v>
      </c>
      <c r="AF111">
        <v>0.57003220991354298</v>
      </c>
      <c r="AG111">
        <v>0.57915270926067997</v>
      </c>
      <c r="AH111">
        <v>0.58852489563822996</v>
      </c>
      <c r="AI111">
        <v>0.59842961320093602</v>
      </c>
      <c r="AJ111">
        <v>0.60760519144589498</v>
      </c>
      <c r="AK111">
        <v>0.61718049673421504</v>
      </c>
      <c r="AL111">
        <v>0.626875034740907</v>
      </c>
      <c r="AM111">
        <v>0.63660397252465495</v>
      </c>
      <c r="AN111">
        <v>0.64605699359100499</v>
      </c>
      <c r="AO111">
        <v>0.65597285486233003</v>
      </c>
      <c r="AP111">
        <v>0.66577150078180503</v>
      </c>
      <c r="AQ111">
        <v>0.67476769180838903</v>
      </c>
      <c r="AR111">
        <v>0.68432157424456497</v>
      </c>
      <c r="AS111">
        <v>0.69424583611743595</v>
      </c>
    </row>
    <row r="112" spans="1:45" hidden="1" x14ac:dyDescent="0.3">
      <c r="A112" t="s">
        <v>812</v>
      </c>
      <c r="B112" t="s">
        <v>685</v>
      </c>
      <c r="C112" t="s">
        <v>681</v>
      </c>
      <c r="D112" t="s">
        <v>680</v>
      </c>
      <c r="E112" t="s">
        <v>746</v>
      </c>
      <c r="F112">
        <v>999</v>
      </c>
      <c r="G112">
        <v>0</v>
      </c>
      <c r="H112">
        <v>-6.7001813028840402</v>
      </c>
      <c r="I112">
        <v>-164.81724913148099</v>
      </c>
      <c r="J112">
        <v>0.47390858853090001</v>
      </c>
      <c r="K112">
        <v>0.49794070649939998</v>
      </c>
      <c r="L112">
        <v>0.45078712644186703</v>
      </c>
      <c r="M112">
        <v>0.48752322504170498</v>
      </c>
      <c r="N112">
        <v>0.42571146053960202</v>
      </c>
      <c r="O112">
        <v>0.46872997248903697</v>
      </c>
      <c r="P112">
        <v>0.468043296182305</v>
      </c>
      <c r="Q112">
        <v>0.46588247592651399</v>
      </c>
      <c r="R112">
        <v>0.46336712548001002</v>
      </c>
      <c r="S112">
        <v>0.46201556448785702</v>
      </c>
      <c r="T112">
        <v>0.45914690461145802</v>
      </c>
      <c r="U112">
        <v>0.45749422860239902</v>
      </c>
      <c r="V112">
        <v>0.45755530066854</v>
      </c>
      <c r="W112">
        <v>0.45908537039236802</v>
      </c>
      <c r="X112">
        <v>0.46280541317641299</v>
      </c>
      <c r="Y112">
        <v>0.46670161120596898</v>
      </c>
      <c r="Z112">
        <v>0.470823201126785</v>
      </c>
      <c r="AA112">
        <v>0.473262244201198</v>
      </c>
      <c r="AB112">
        <v>0.47943712788170201</v>
      </c>
      <c r="AC112">
        <v>0.48681986746761902</v>
      </c>
      <c r="AD112">
        <v>0.49532452440165697</v>
      </c>
      <c r="AE112">
        <v>0.504187500000572</v>
      </c>
      <c r="AF112">
        <v>0.512877131473645</v>
      </c>
      <c r="AG112">
        <v>0.52161963287797497</v>
      </c>
      <c r="AH112">
        <v>0.53056971969451605</v>
      </c>
      <c r="AI112">
        <v>0.53998201114392497</v>
      </c>
      <c r="AJ112">
        <v>0.54871897146024995</v>
      </c>
      <c r="AK112">
        <v>0.55779988850797302</v>
      </c>
      <c r="AL112">
        <v>0.56697248490173102</v>
      </c>
      <c r="AM112">
        <v>0.57616078571535201</v>
      </c>
      <c r="AN112">
        <v>0.58508441460584704</v>
      </c>
      <c r="AO112">
        <v>0.59441294439279102</v>
      </c>
      <c r="AP112">
        <v>0.60362175109224203</v>
      </c>
      <c r="AQ112">
        <v>0.61208960536630697</v>
      </c>
      <c r="AR112">
        <v>0.621074027195054</v>
      </c>
      <c r="AS112">
        <v>0.63039030246200201</v>
      </c>
    </row>
    <row r="113" spans="1:45" hidden="1" x14ac:dyDescent="0.3">
      <c r="A113" t="s">
        <v>812</v>
      </c>
      <c r="B113" t="s">
        <v>684</v>
      </c>
      <c r="C113" t="s">
        <v>681</v>
      </c>
      <c r="D113" t="s">
        <v>680</v>
      </c>
      <c r="E113" t="s">
        <v>746</v>
      </c>
      <c r="F113">
        <v>999</v>
      </c>
      <c r="G113">
        <v>0</v>
      </c>
      <c r="H113">
        <v>-45.138883638266996</v>
      </c>
      <c r="I113">
        <v>-1110.3679577928301</v>
      </c>
      <c r="J113">
        <v>0</v>
      </c>
      <c r="K113">
        <v>-1.5832483768463101E-17</v>
      </c>
      <c r="L113">
        <v>9.7816718014624594E-3</v>
      </c>
      <c r="M113">
        <v>1.9788271253234398E-2</v>
      </c>
      <c r="N113">
        <v>2.5033052494723498E-2</v>
      </c>
      <c r="O113">
        <v>3.4742913869394002E-2</v>
      </c>
      <c r="P113">
        <v>4.1911016967544699E-2</v>
      </c>
      <c r="Q113">
        <v>4.8831052388174902E-2</v>
      </c>
      <c r="R113">
        <v>5.4670287498447601E-2</v>
      </c>
      <c r="S113">
        <v>6.0419444285187099E-2</v>
      </c>
      <c r="T113">
        <v>6.3717242468168706E-2</v>
      </c>
      <c r="U113">
        <v>6.7135343136786194E-2</v>
      </c>
      <c r="V113">
        <v>7.0708145440395304E-2</v>
      </c>
      <c r="W113">
        <v>7.4478714767104395E-2</v>
      </c>
      <c r="X113">
        <v>7.9979497739168098E-2</v>
      </c>
      <c r="Y113">
        <v>7.0541727656556905E-2</v>
      </c>
      <c r="Z113">
        <v>7.1343424482568502E-2</v>
      </c>
      <c r="AA113">
        <v>7.3244610372803401E-2</v>
      </c>
      <c r="AB113">
        <v>7.1230667980753296E-2</v>
      </c>
      <c r="AC113">
        <v>6.9906062399600497E-2</v>
      </c>
      <c r="AD113">
        <v>6.9030396776163794E-2</v>
      </c>
      <c r="AE113">
        <v>6.8099051357331894E-2</v>
      </c>
      <c r="AF113">
        <v>6.7022006055906302E-2</v>
      </c>
      <c r="AG113">
        <v>6.6521181195548396E-2</v>
      </c>
      <c r="AH113">
        <v>6.5201622541718199E-2</v>
      </c>
      <c r="AI113">
        <v>6.2054848990455901E-2</v>
      </c>
      <c r="AJ113">
        <v>5.8625972009169802E-2</v>
      </c>
      <c r="AK113">
        <v>5.5192617730349502E-2</v>
      </c>
      <c r="AL113">
        <v>5.1816604598166498E-2</v>
      </c>
      <c r="AM113">
        <v>4.8506079013629799E-2</v>
      </c>
      <c r="AN113">
        <v>4.4769813596277699E-2</v>
      </c>
      <c r="AO113">
        <v>4.0977980374273401E-2</v>
      </c>
      <c r="AP113">
        <v>3.7514419026496999E-2</v>
      </c>
      <c r="AQ113">
        <v>3.4347938489950901E-2</v>
      </c>
      <c r="AR113">
        <v>3.1532152440729697E-2</v>
      </c>
      <c r="AS113">
        <v>2.9003517724712401E-2</v>
      </c>
    </row>
    <row r="114" spans="1:45" hidden="1" x14ac:dyDescent="0.3">
      <c r="A114" t="s">
        <v>812</v>
      </c>
      <c r="B114" t="s">
        <v>682</v>
      </c>
      <c r="C114" t="s">
        <v>681</v>
      </c>
      <c r="D114" t="s">
        <v>680</v>
      </c>
      <c r="E114" t="s">
        <v>746</v>
      </c>
      <c r="F114">
        <v>999</v>
      </c>
      <c r="G114">
        <v>0</v>
      </c>
      <c r="H114">
        <v>-45.138883638266996</v>
      </c>
      <c r="I114">
        <v>-1110.3679577928301</v>
      </c>
      <c r="J114">
        <v>0</v>
      </c>
      <c r="K114">
        <v>-1.5832483768463101E-17</v>
      </c>
      <c r="L114">
        <v>9.4926923340468705E-3</v>
      </c>
      <c r="M114">
        <v>1.8846052149201702E-2</v>
      </c>
      <c r="N114">
        <v>2.3478613959425298E-2</v>
      </c>
      <c r="O114">
        <v>3.2144015656127498E-2</v>
      </c>
      <c r="P114">
        <v>3.8267790715105499E-2</v>
      </c>
      <c r="Q114">
        <v>4.4028126145945597E-2</v>
      </c>
      <c r="R114">
        <v>4.8815382074844003E-2</v>
      </c>
      <c r="S114">
        <v>5.3460845519249803E-2</v>
      </c>
      <c r="T114">
        <v>5.5925006340225299E-2</v>
      </c>
      <c r="U114">
        <v>5.8475368029451198E-2</v>
      </c>
      <c r="V114">
        <v>6.1147695125807901E-2</v>
      </c>
      <c r="W114">
        <v>6.3982075996034504E-2</v>
      </c>
      <c r="X114">
        <v>6.8297333019566198E-2</v>
      </c>
      <c r="Y114">
        <v>6.0001921845665801E-2</v>
      </c>
      <c r="Z114">
        <v>6.0359229069912798E-2</v>
      </c>
      <c r="AA114">
        <v>6.1657584341045603E-2</v>
      </c>
      <c r="AB114">
        <v>5.9868663372724097E-2</v>
      </c>
      <c r="AC114">
        <v>5.8772589696003297E-2</v>
      </c>
      <c r="AD114">
        <v>5.8123029501851498E-2</v>
      </c>
      <c r="AE114">
        <v>5.7464720397468E-2</v>
      </c>
      <c r="AF114">
        <v>5.6717243597119098E-2</v>
      </c>
      <c r="AG114">
        <v>5.6614424258145897E-2</v>
      </c>
      <c r="AH114">
        <v>5.57850542927711E-2</v>
      </c>
      <c r="AI114">
        <v>5.3379190690196102E-2</v>
      </c>
      <c r="AJ114">
        <v>5.07082356599022E-2</v>
      </c>
      <c r="AK114">
        <v>4.8006338850726901E-2</v>
      </c>
      <c r="AL114">
        <v>4.5325408906856303E-2</v>
      </c>
      <c r="AM114">
        <v>4.2675737826387297E-2</v>
      </c>
      <c r="AN114">
        <v>3.9603159764551102E-2</v>
      </c>
      <c r="AO114">
        <v>3.6436986154064703E-2</v>
      </c>
      <c r="AP114">
        <v>3.3526085202293998E-2</v>
      </c>
      <c r="AQ114">
        <v>3.0845137711004601E-2</v>
      </c>
      <c r="AR114">
        <v>2.84510910949189E-2</v>
      </c>
      <c r="AS114">
        <v>2.6290380318202401E-2</v>
      </c>
    </row>
    <row r="115" spans="1:45" hidden="1" x14ac:dyDescent="0.3">
      <c r="A115" t="s">
        <v>811</v>
      </c>
      <c r="B115" t="s">
        <v>686</v>
      </c>
      <c r="C115" t="s">
        <v>681</v>
      </c>
      <c r="D115" t="s">
        <v>680</v>
      </c>
      <c r="E115" t="s">
        <v>8</v>
      </c>
      <c r="F115">
        <v>-3.7898255024346499</v>
      </c>
      <c r="G115">
        <v>15.563251070734401</v>
      </c>
      <c r="H115">
        <v>29.129707752501901</v>
      </c>
      <c r="I115">
        <v>716.55946051858905</v>
      </c>
      <c r="J115">
        <v>1.7189127996899999E-2</v>
      </c>
      <c r="K115">
        <v>1.7422067256300001E-2</v>
      </c>
      <c r="L115">
        <v>1.74095650932319E-2</v>
      </c>
      <c r="M115">
        <v>1.7497408144548501E-2</v>
      </c>
      <c r="N115">
        <v>1.7625487561420499E-2</v>
      </c>
      <c r="O115">
        <v>1.7715694158528399E-2</v>
      </c>
      <c r="P115">
        <v>1.7708080638927998E-2</v>
      </c>
      <c r="Q115">
        <v>1.77227233294995E-2</v>
      </c>
      <c r="R115">
        <v>1.77682583863937E-2</v>
      </c>
      <c r="S115">
        <v>1.7895205668290101E-2</v>
      </c>
      <c r="T115">
        <v>1.7975119792171299E-2</v>
      </c>
      <c r="U115">
        <v>1.80649063559459E-2</v>
      </c>
      <c r="V115">
        <v>1.81689209405302E-2</v>
      </c>
      <c r="W115">
        <v>1.82872884618938E-2</v>
      </c>
      <c r="X115">
        <v>1.84593697241246E-2</v>
      </c>
      <c r="Y115">
        <v>1.86277369928976E-2</v>
      </c>
      <c r="Z115">
        <v>1.8782375410412E-2</v>
      </c>
      <c r="AA115">
        <v>1.8869448142230402E-2</v>
      </c>
      <c r="AB115">
        <v>1.90235620040651E-2</v>
      </c>
      <c r="AC115">
        <v>1.9166619304488298E-2</v>
      </c>
      <c r="AD115">
        <v>1.9346620077194801E-2</v>
      </c>
      <c r="AE115">
        <v>1.95424775987935E-2</v>
      </c>
      <c r="AF115">
        <v>1.9711002233141001E-2</v>
      </c>
      <c r="AG115">
        <v>1.9888670353232499E-2</v>
      </c>
      <c r="AH115">
        <v>2.0073734296781501E-2</v>
      </c>
      <c r="AI115">
        <v>2.0253238075557099E-2</v>
      </c>
      <c r="AJ115">
        <v>2.0426132862648001E-2</v>
      </c>
      <c r="AK115">
        <v>2.05938613192342E-2</v>
      </c>
      <c r="AL115">
        <v>2.0768840181912301E-2</v>
      </c>
      <c r="AM115">
        <v>2.0950698519742E-2</v>
      </c>
      <c r="AN115">
        <v>2.1137871617797201E-2</v>
      </c>
      <c r="AO115">
        <v>2.1334294239620698E-2</v>
      </c>
      <c r="AP115">
        <v>2.1550032222298201E-2</v>
      </c>
      <c r="AQ115">
        <v>2.17530505003024E-2</v>
      </c>
      <c r="AR115">
        <v>2.19648534705577E-2</v>
      </c>
      <c r="AS115">
        <v>2.21654296002009E-2</v>
      </c>
    </row>
    <row r="116" spans="1:45" hidden="1" x14ac:dyDescent="0.3">
      <c r="A116" t="s">
        <v>811</v>
      </c>
      <c r="B116" t="s">
        <v>685</v>
      </c>
      <c r="C116" t="s">
        <v>681</v>
      </c>
      <c r="D116" t="s">
        <v>680</v>
      </c>
      <c r="E116" t="s">
        <v>8</v>
      </c>
      <c r="F116">
        <v>-3.7898255024346499</v>
      </c>
      <c r="G116">
        <v>15.563251070734401</v>
      </c>
      <c r="H116">
        <v>29.129707752501901</v>
      </c>
      <c r="I116">
        <v>716.55946051858905</v>
      </c>
      <c r="J116">
        <v>1.7189127996899999E-2</v>
      </c>
      <c r="K116">
        <v>1.7422067256300001E-2</v>
      </c>
      <c r="L116">
        <v>1.5776851656429999E-2</v>
      </c>
      <c r="M116">
        <v>1.43779562064582E-2</v>
      </c>
      <c r="N116">
        <v>1.3028138024663599E-2</v>
      </c>
      <c r="O116">
        <v>1.16739696303781E-2</v>
      </c>
      <c r="P116">
        <v>1.02966112308267E-2</v>
      </c>
      <c r="Q116">
        <v>8.9776569616136608E-3</v>
      </c>
      <c r="R116">
        <v>7.7162877841469198E-3</v>
      </c>
      <c r="S116">
        <v>6.5220873909303499E-3</v>
      </c>
      <c r="T116">
        <v>5.3383180778840498E-3</v>
      </c>
      <c r="U116">
        <v>4.1883019116787197E-3</v>
      </c>
      <c r="V116">
        <v>3.0682034861408002E-3</v>
      </c>
      <c r="W116">
        <v>2.711945748039E-3</v>
      </c>
      <c r="X116">
        <v>2.7124449109632099E-3</v>
      </c>
      <c r="Y116">
        <v>2.6910810608673798E-3</v>
      </c>
      <c r="Z116">
        <v>2.6698469807987101E-3</v>
      </c>
      <c r="AA116">
        <v>2.6411929334424402E-3</v>
      </c>
      <c r="AB116">
        <v>2.6238787079791602E-3</v>
      </c>
      <c r="AC116">
        <v>2.60672083080885E-3</v>
      </c>
      <c r="AD116">
        <v>2.59610540755952E-3</v>
      </c>
      <c r="AE116">
        <v>2.58893386024112E-3</v>
      </c>
      <c r="AF116">
        <v>2.5793597191130198E-3</v>
      </c>
      <c r="AG116">
        <v>2.5846296808814898E-3</v>
      </c>
      <c r="AH116">
        <v>2.5975590981475801E-3</v>
      </c>
      <c r="AI116">
        <v>2.61065492080464E-3</v>
      </c>
      <c r="AJ116">
        <v>2.6237133160355599E-3</v>
      </c>
      <c r="AK116">
        <v>2.6368562748626499E-3</v>
      </c>
      <c r="AL116">
        <v>2.6516092851458502E-3</v>
      </c>
      <c r="AM116">
        <v>2.6678575123488799E-3</v>
      </c>
      <c r="AN116">
        <v>2.6853415852177102E-3</v>
      </c>
      <c r="AO116">
        <v>2.70450691738389E-3</v>
      </c>
      <c r="AP116">
        <v>2.7265758707930498E-3</v>
      </c>
      <c r="AQ116">
        <v>2.74744962505085E-3</v>
      </c>
      <c r="AR116">
        <v>2.76981229897352E-3</v>
      </c>
      <c r="AS116">
        <v>2.7911062308172102E-3</v>
      </c>
    </row>
    <row r="117" spans="1:45" hidden="1" x14ac:dyDescent="0.3">
      <c r="A117" t="s">
        <v>811</v>
      </c>
      <c r="B117" t="s">
        <v>684</v>
      </c>
      <c r="C117" t="s">
        <v>681</v>
      </c>
      <c r="D117" t="s">
        <v>680</v>
      </c>
      <c r="E117" t="s">
        <v>8</v>
      </c>
      <c r="F117">
        <v>-3.7898255024346499</v>
      </c>
      <c r="G117">
        <v>15.563251070734401</v>
      </c>
      <c r="H117">
        <v>431.924618763838</v>
      </c>
      <c r="I117">
        <v>10624.880772431799</v>
      </c>
      <c r="J117">
        <v>8.5945639984499993E-3</v>
      </c>
      <c r="K117">
        <v>8.7110336281500007E-3</v>
      </c>
      <c r="L117">
        <v>1.74095650932319E-2</v>
      </c>
      <c r="M117">
        <v>1.5590735474152E-2</v>
      </c>
      <c r="N117">
        <v>1.39828683384659E-2</v>
      </c>
      <c r="O117">
        <v>1.25147559009213E-2</v>
      </c>
      <c r="P117">
        <v>1.1145541895089799E-2</v>
      </c>
      <c r="Q117">
        <v>9.9441734720513292E-3</v>
      </c>
      <c r="R117">
        <v>8.8955772884512594E-3</v>
      </c>
      <c r="S117">
        <v>8.0005697515216495E-3</v>
      </c>
      <c r="T117">
        <v>7.1762225362243101E-3</v>
      </c>
      <c r="U117">
        <v>6.42488414804121E-3</v>
      </c>
      <c r="V117">
        <v>5.7603406604549399E-3</v>
      </c>
      <c r="W117">
        <v>5.0409528979159799E-3</v>
      </c>
      <c r="X117">
        <v>4.5174314308910899E-3</v>
      </c>
      <c r="Y117">
        <v>4.0470986887711398E-3</v>
      </c>
      <c r="Z117">
        <v>3.6233239886255702E-3</v>
      </c>
      <c r="AA117">
        <v>3.2343287837817499E-3</v>
      </c>
      <c r="AB117">
        <v>2.8979185227166202E-3</v>
      </c>
      <c r="AC117">
        <v>2.5951105506737899E-3</v>
      </c>
      <c r="AD117">
        <v>2.32888927584784E-3</v>
      </c>
      <c r="AE117">
        <v>2.0927045751374198E-3</v>
      </c>
      <c r="AF117">
        <v>1.87862163272415E-3</v>
      </c>
      <c r="AG117">
        <v>1.68798386021552E-3</v>
      </c>
      <c r="AH117">
        <v>1.51812364844879E-3</v>
      </c>
      <c r="AI117">
        <v>1.365911736801E-3</v>
      </c>
      <c r="AJ117">
        <v>1.2291418767641799E-3</v>
      </c>
      <c r="AK117">
        <v>1.1064495004836799E-3</v>
      </c>
      <c r="AL117">
        <v>9.9689948399695003E-4</v>
      </c>
      <c r="AM117">
        <v>8.9895589006924899E-4</v>
      </c>
      <c r="AN117">
        <v>8.1131656976113603E-4</v>
      </c>
      <c r="AO117">
        <v>7.3308924343634804E-4</v>
      </c>
      <c r="AP117">
        <v>6.6361396227864703E-4</v>
      </c>
      <c r="AQ117">
        <v>6.0107304168291605E-4</v>
      </c>
      <c r="AR117">
        <v>5.4618027238026098E-4</v>
      </c>
      <c r="AS117">
        <v>4.9722947108675995E-4</v>
      </c>
    </row>
    <row r="118" spans="1:45" hidden="1" x14ac:dyDescent="0.3">
      <c r="A118" t="s">
        <v>811</v>
      </c>
      <c r="B118" t="s">
        <v>682</v>
      </c>
      <c r="C118" t="s">
        <v>681</v>
      </c>
      <c r="D118" t="s">
        <v>680</v>
      </c>
      <c r="E118" t="s">
        <v>8</v>
      </c>
      <c r="F118">
        <v>-3.7898255024346499</v>
      </c>
      <c r="G118">
        <v>15.563251070734401</v>
      </c>
      <c r="H118">
        <v>431.924618763838</v>
      </c>
      <c r="I118">
        <v>10624.880772431799</v>
      </c>
      <c r="J118">
        <v>8.5945639984499993E-3</v>
      </c>
      <c r="K118">
        <v>8.7110336281500007E-3</v>
      </c>
      <c r="L118">
        <v>1.5776851656429999E-2</v>
      </c>
      <c r="M118">
        <v>1.2900755391813099E-2</v>
      </c>
      <c r="N118">
        <v>1.0498925761875401E-2</v>
      </c>
      <c r="O118">
        <v>8.4489456805790196E-3</v>
      </c>
      <c r="P118">
        <v>6.6886638247432304E-3</v>
      </c>
      <c r="Q118">
        <v>5.2281582347866304E-3</v>
      </c>
      <c r="R118">
        <v>4.0211405346621898E-3</v>
      </c>
      <c r="S118">
        <v>3.0325530005956198E-3</v>
      </c>
      <c r="T118">
        <v>2.2024851919043601E-3</v>
      </c>
      <c r="U118">
        <v>1.51375029014781E-3</v>
      </c>
      <c r="V118">
        <v>9.5252104621709798E-4</v>
      </c>
      <c r="W118">
        <v>7.1908348199224801E-4</v>
      </c>
      <c r="X118">
        <v>6.4023263144991896E-4</v>
      </c>
      <c r="Y118">
        <v>5.6559138263816101E-4</v>
      </c>
      <c r="Z118">
        <v>4.9999872431843605E-4</v>
      </c>
      <c r="AA118">
        <v>4.4124918305416498E-4</v>
      </c>
      <c r="AB118">
        <v>3.9127772370606902E-4</v>
      </c>
      <c r="AC118">
        <v>3.4710724602973601E-4</v>
      </c>
      <c r="AD118">
        <v>3.0884037775738202E-4</v>
      </c>
      <c r="AE118">
        <v>2.7535994285636002E-4</v>
      </c>
      <c r="AF118">
        <v>2.4543238540213102E-4</v>
      </c>
      <c r="AG118">
        <v>2.1936173250781699E-4</v>
      </c>
      <c r="AH118">
        <v>1.96446552337469E-4</v>
      </c>
      <c r="AI118">
        <v>1.7606686811073001E-4</v>
      </c>
      <c r="AJ118">
        <v>1.57881862957052E-4</v>
      </c>
      <c r="AK118">
        <v>1.4167077572014501E-4</v>
      </c>
      <c r="AL118">
        <v>1.2727662714770099E-4</v>
      </c>
      <c r="AM118">
        <v>1.14472852651266E-4</v>
      </c>
      <c r="AN118">
        <v>1.03069134061795E-4</v>
      </c>
      <c r="AO118">
        <v>9.2932295189371804E-5</v>
      </c>
      <c r="AP118">
        <v>8.3962464575719305E-5</v>
      </c>
      <c r="AQ118">
        <v>7.5916612383947801E-5</v>
      </c>
      <c r="AR118">
        <v>6.8874433327014006E-5</v>
      </c>
      <c r="AS118">
        <v>6.2611927669727006E-5</v>
      </c>
    </row>
    <row r="119" spans="1:45" hidden="1" x14ac:dyDescent="0.3">
      <c r="A119" t="s">
        <v>810</v>
      </c>
      <c r="B119" t="s">
        <v>686</v>
      </c>
      <c r="C119" t="s">
        <v>681</v>
      </c>
      <c r="D119" t="s">
        <v>680</v>
      </c>
      <c r="E119" t="s">
        <v>8</v>
      </c>
      <c r="F119">
        <v>-1.3206093102154699</v>
      </c>
      <c r="G119">
        <v>14.2854945658536</v>
      </c>
      <c r="H119">
        <v>25.421322196366699</v>
      </c>
      <c r="I119">
        <v>625.33716690423205</v>
      </c>
      <c r="J119">
        <v>0.15270801092460001</v>
      </c>
      <c r="K119">
        <v>0.15510862378170001</v>
      </c>
      <c r="L119">
        <v>0.15652499479005699</v>
      </c>
      <c r="M119">
        <v>0.16015547403706701</v>
      </c>
      <c r="N119">
        <v>0.163385616187498</v>
      </c>
      <c r="O119">
        <v>0.165530771495047</v>
      </c>
      <c r="P119">
        <v>0.166143181823113</v>
      </c>
      <c r="Q119">
        <v>0.16688982911118799</v>
      </c>
      <c r="R119">
        <v>0.167823492135909</v>
      </c>
      <c r="S119">
        <v>0.169211041881251</v>
      </c>
      <c r="T119">
        <v>0.16984907023541901</v>
      </c>
      <c r="U119">
        <v>0.17057510534215101</v>
      </c>
      <c r="V119">
        <v>0.17157860057194199</v>
      </c>
      <c r="W119">
        <v>0.172913169934896</v>
      </c>
      <c r="X119">
        <v>0.17485182108595901</v>
      </c>
      <c r="Y119">
        <v>0.176715062129461</v>
      </c>
      <c r="Z119">
        <v>0.178448928647537</v>
      </c>
      <c r="AA119">
        <v>0.17954374803627501</v>
      </c>
      <c r="AB119">
        <v>0.18127373239119299</v>
      </c>
      <c r="AC119">
        <v>0.18298459406423401</v>
      </c>
      <c r="AD119">
        <v>0.185139565513667</v>
      </c>
      <c r="AE119">
        <v>0.1874666828488</v>
      </c>
      <c r="AF119">
        <v>0.18945395934911299</v>
      </c>
      <c r="AG119">
        <v>0.19146547565467101</v>
      </c>
      <c r="AH119">
        <v>0.193623239196444</v>
      </c>
      <c r="AI119">
        <v>0.195853662684569</v>
      </c>
      <c r="AJ119">
        <v>0.197859265328966</v>
      </c>
      <c r="AK119">
        <v>0.199927052105247</v>
      </c>
      <c r="AL119">
        <v>0.20203563616182099</v>
      </c>
      <c r="AM119">
        <v>0.204220211383941</v>
      </c>
      <c r="AN119">
        <v>0.20636280146018901</v>
      </c>
      <c r="AO119">
        <v>0.20850626039286899</v>
      </c>
      <c r="AP119">
        <v>0.21076552485906799</v>
      </c>
      <c r="AQ119">
        <v>0.212839197099122</v>
      </c>
      <c r="AR119">
        <v>0.215081153866573</v>
      </c>
      <c r="AS119">
        <v>0.217300727140988</v>
      </c>
    </row>
    <row r="120" spans="1:45" hidden="1" x14ac:dyDescent="0.3">
      <c r="A120" t="s">
        <v>810</v>
      </c>
      <c r="B120" t="s">
        <v>685</v>
      </c>
      <c r="C120" t="s">
        <v>681</v>
      </c>
      <c r="D120" t="s">
        <v>680</v>
      </c>
      <c r="E120" t="s">
        <v>8</v>
      </c>
      <c r="F120">
        <v>-1.3206093102154699</v>
      </c>
      <c r="G120">
        <v>14.2854945658536</v>
      </c>
      <c r="H120">
        <v>25.421322196366699</v>
      </c>
      <c r="I120">
        <v>625.33716690423205</v>
      </c>
      <c r="J120">
        <v>0.15270801092460001</v>
      </c>
      <c r="K120">
        <v>0.15510862378170001</v>
      </c>
      <c r="L120">
        <v>0.15388756653475999</v>
      </c>
      <c r="M120">
        <v>0.15499404509131701</v>
      </c>
      <c r="N120">
        <v>0.15566277679891199</v>
      </c>
      <c r="O120">
        <v>0.15529349906878201</v>
      </c>
      <c r="P120">
        <v>0.153530255392028</v>
      </c>
      <c r="Q120">
        <v>0.15195252227549699</v>
      </c>
      <c r="R120">
        <v>0.15060412840340401</v>
      </c>
      <c r="S120">
        <v>0.149710444987772</v>
      </c>
      <c r="T120">
        <v>0.14820103915566801</v>
      </c>
      <c r="U120">
        <v>0.146825846668409</v>
      </c>
      <c r="V120">
        <v>0.145740295656862</v>
      </c>
      <c r="W120">
        <v>0.14497732078763001</v>
      </c>
      <c r="X120">
        <v>0.14565628585186199</v>
      </c>
      <c r="Y120">
        <v>0.1471742038703</v>
      </c>
      <c r="Z120">
        <v>0.148584671406191</v>
      </c>
      <c r="AA120">
        <v>0.14946360721420701</v>
      </c>
      <c r="AB120">
        <v>0.15087171907893299</v>
      </c>
      <c r="AC120">
        <v>0.15226419734968899</v>
      </c>
      <c r="AD120">
        <v>0.154026466704445</v>
      </c>
      <c r="AE120">
        <v>0.15593213012837301</v>
      </c>
      <c r="AF120">
        <v>0.15755532163382999</v>
      </c>
      <c r="AG120">
        <v>0.15919889962557901</v>
      </c>
      <c r="AH120">
        <v>0.160964263325276</v>
      </c>
      <c r="AI120">
        <v>0.16279015566998101</v>
      </c>
      <c r="AJ120">
        <v>0.164443033851185</v>
      </c>
      <c r="AK120">
        <v>0.166161594416361</v>
      </c>
      <c r="AL120">
        <v>0.167914062054491</v>
      </c>
      <c r="AM120">
        <v>0.169729686794653</v>
      </c>
      <c r="AN120">
        <v>0.17151041721357899</v>
      </c>
      <c r="AO120">
        <v>0.17329186974874</v>
      </c>
      <c r="AP120">
        <v>0.175169569549536</v>
      </c>
      <c r="AQ120">
        <v>0.17689302158904799</v>
      </c>
      <c r="AR120">
        <v>0.17875633676910799</v>
      </c>
      <c r="AS120">
        <v>0.180601048779399</v>
      </c>
    </row>
    <row r="121" spans="1:45" hidden="1" x14ac:dyDescent="0.3">
      <c r="A121" t="s">
        <v>810</v>
      </c>
      <c r="B121" t="s">
        <v>684</v>
      </c>
      <c r="C121" t="s">
        <v>681</v>
      </c>
      <c r="D121" t="s">
        <v>680</v>
      </c>
      <c r="E121" t="s">
        <v>8</v>
      </c>
      <c r="F121">
        <v>-1.3206093102154699</v>
      </c>
      <c r="G121">
        <v>14.2854945658536</v>
      </c>
      <c r="H121">
        <v>1154.87814337742</v>
      </c>
      <c r="I121">
        <v>28408.759415453402</v>
      </c>
      <c r="J121">
        <v>5.0902670308199997E-2</v>
      </c>
      <c r="K121">
        <v>5.1702874593900001E-2</v>
      </c>
      <c r="L121">
        <v>3.5818203563998102E-3</v>
      </c>
      <c r="M121">
        <v>3.6488449857920201E-3</v>
      </c>
      <c r="N121">
        <v>3.70571671725488E-3</v>
      </c>
      <c r="O121">
        <v>3.7390735280250602E-3</v>
      </c>
      <c r="P121">
        <v>3.73620217358319E-3</v>
      </c>
      <c r="Q121">
        <v>3.7376736098899302E-3</v>
      </c>
      <c r="R121">
        <v>3.7454577532430098E-3</v>
      </c>
      <c r="S121">
        <v>3.7663180828914899E-3</v>
      </c>
      <c r="T121">
        <v>3.7735537160038502E-3</v>
      </c>
      <c r="U121">
        <v>3.7845545716344501E-3</v>
      </c>
      <c r="V121">
        <v>3.8015876563506999E-3</v>
      </c>
      <c r="W121">
        <v>3.8265762141453802E-3</v>
      </c>
      <c r="X121">
        <v>3.8626189687141301E-3</v>
      </c>
      <c r="Y121">
        <v>3.9030888375659002E-3</v>
      </c>
      <c r="Z121">
        <v>3.9375311360080401E-3</v>
      </c>
      <c r="AA121">
        <v>3.9597068358806602E-3</v>
      </c>
      <c r="AB121">
        <v>3.9965631421750103E-3</v>
      </c>
      <c r="AC121">
        <v>4.0333151284417104E-3</v>
      </c>
      <c r="AD121">
        <v>4.0806403365056402E-3</v>
      </c>
      <c r="AE121">
        <v>4.1313497540986796E-3</v>
      </c>
      <c r="AF121">
        <v>4.1752825832101501E-3</v>
      </c>
      <c r="AG121">
        <v>4.2195015444333496E-3</v>
      </c>
      <c r="AH121">
        <v>4.2653919120769898E-3</v>
      </c>
      <c r="AI121">
        <v>4.31114971221205E-3</v>
      </c>
      <c r="AJ121">
        <v>4.3532334906589204E-3</v>
      </c>
      <c r="AK121">
        <v>4.3982214666534397E-3</v>
      </c>
      <c r="AL121">
        <v>4.4409361792844297E-3</v>
      </c>
      <c r="AM121">
        <v>4.48832548644064E-3</v>
      </c>
      <c r="AN121">
        <v>4.5317766156710302E-3</v>
      </c>
      <c r="AO121">
        <v>4.57837414567788E-3</v>
      </c>
      <c r="AP121">
        <v>4.6254580253081096E-3</v>
      </c>
      <c r="AQ121">
        <v>4.6688134564944004E-3</v>
      </c>
      <c r="AR121">
        <v>4.7176137066898098E-3</v>
      </c>
      <c r="AS121">
        <v>4.7628165840289099E-3</v>
      </c>
    </row>
    <row r="122" spans="1:45" hidden="1" x14ac:dyDescent="0.3">
      <c r="A122" t="s">
        <v>810</v>
      </c>
      <c r="B122" t="s">
        <v>682</v>
      </c>
      <c r="C122" t="s">
        <v>681</v>
      </c>
      <c r="D122" t="s">
        <v>680</v>
      </c>
      <c r="E122" t="s">
        <v>8</v>
      </c>
      <c r="F122">
        <v>-1.3206093102154699</v>
      </c>
      <c r="G122">
        <v>14.2854945658536</v>
      </c>
      <c r="H122">
        <v>1154.87814337742</v>
      </c>
      <c r="I122">
        <v>28408.759415453402</v>
      </c>
      <c r="J122">
        <v>5.0902670308199997E-2</v>
      </c>
      <c r="K122">
        <v>5.1702874593900001E-2</v>
      </c>
      <c r="L122">
        <v>3.5214670931651201E-3</v>
      </c>
      <c r="M122">
        <v>3.5314311675898298E-3</v>
      </c>
      <c r="N122">
        <v>3.5309183975996599E-3</v>
      </c>
      <c r="O122">
        <v>3.5083065444268201E-3</v>
      </c>
      <c r="P122">
        <v>3.4531042847802699E-3</v>
      </c>
      <c r="Q122">
        <v>3.4036777058284902E-3</v>
      </c>
      <c r="R122">
        <v>3.3616491346238498E-3</v>
      </c>
      <c r="S122">
        <v>3.3326773754648602E-3</v>
      </c>
      <c r="T122">
        <v>3.2928989264304001E-3</v>
      </c>
      <c r="U122">
        <v>3.2578208165750999E-3</v>
      </c>
      <c r="V122">
        <v>3.2291831400954501E-3</v>
      </c>
      <c r="W122">
        <v>3.2083323532150201E-3</v>
      </c>
      <c r="X122">
        <v>3.2175993609400498E-3</v>
      </c>
      <c r="Y122">
        <v>3.2505630384174898E-3</v>
      </c>
      <c r="Z122">
        <v>3.27851870701901E-3</v>
      </c>
      <c r="AA122">
        <v>3.2962736187953901E-3</v>
      </c>
      <c r="AB122">
        <v>3.32625766890911E-3</v>
      </c>
      <c r="AC122">
        <v>3.3561598630660102E-3</v>
      </c>
      <c r="AD122">
        <v>3.39486260929913E-3</v>
      </c>
      <c r="AE122">
        <v>3.4363858245478598E-3</v>
      </c>
      <c r="AF122">
        <v>3.4722759834108102E-3</v>
      </c>
      <c r="AG122">
        <v>3.50840757639112E-3</v>
      </c>
      <c r="AH122">
        <v>3.5459332434114102E-3</v>
      </c>
      <c r="AI122">
        <v>3.5833516587294501E-3</v>
      </c>
      <c r="AJ122">
        <v>3.61802072334765E-3</v>
      </c>
      <c r="AK122">
        <v>3.6554107300630499E-3</v>
      </c>
      <c r="AL122">
        <v>3.6909114023385898E-3</v>
      </c>
      <c r="AM122">
        <v>3.73029718206392E-3</v>
      </c>
      <c r="AN122">
        <v>3.7664098983577299E-3</v>
      </c>
      <c r="AO122">
        <v>3.8051376232967199E-3</v>
      </c>
      <c r="AP122">
        <v>3.84426955881169E-3</v>
      </c>
      <c r="AQ122">
        <v>3.8803027393975601E-3</v>
      </c>
      <c r="AR122">
        <v>3.9208611695599896E-3</v>
      </c>
      <c r="AS122">
        <v>3.9584297831707404E-3</v>
      </c>
    </row>
    <row r="123" spans="1:45" hidden="1" x14ac:dyDescent="0.3">
      <c r="A123" t="s">
        <v>809</v>
      </c>
      <c r="B123" t="s">
        <v>686</v>
      </c>
      <c r="C123" t="s">
        <v>681</v>
      </c>
      <c r="D123" t="s">
        <v>680</v>
      </c>
      <c r="E123" t="s">
        <v>8</v>
      </c>
      <c r="F123">
        <v>999</v>
      </c>
      <c r="G123">
        <v>999</v>
      </c>
      <c r="H123">
        <v>999</v>
      </c>
      <c r="I123">
        <v>999</v>
      </c>
      <c r="J123">
        <v>4.2634766501000003E-3</v>
      </c>
      <c r="K123">
        <v>4.3876371917000003E-3</v>
      </c>
      <c r="L123">
        <v>4.4683740431999998E-3</v>
      </c>
      <c r="M123">
        <v>4.6076080066000001E-3</v>
      </c>
      <c r="N123">
        <v>4.7646105177999998E-3</v>
      </c>
      <c r="O123">
        <v>4.9084169480000002E-3</v>
      </c>
      <c r="P123">
        <v>5.0395794472999998E-3</v>
      </c>
      <c r="Q123">
        <v>5.1711882333000002E-3</v>
      </c>
      <c r="R123">
        <v>5.3038650195000002E-3</v>
      </c>
      <c r="S123">
        <v>5.4387245689999997E-3</v>
      </c>
      <c r="T123">
        <v>5.5809959724999999E-3</v>
      </c>
      <c r="U123">
        <v>5.7362477310999999E-3</v>
      </c>
      <c r="V123">
        <v>5.9054600275000001E-3</v>
      </c>
      <c r="W123">
        <v>6.0738561296999997E-3</v>
      </c>
      <c r="X123">
        <v>6.2385439269000004E-3</v>
      </c>
      <c r="Y123">
        <v>6.4056403494999999E-3</v>
      </c>
      <c r="Z123">
        <v>6.5748208899000004E-3</v>
      </c>
      <c r="AA123">
        <v>6.7387124670000003E-3</v>
      </c>
      <c r="AB123">
        <v>6.8985340263999998E-3</v>
      </c>
      <c r="AC123">
        <v>7.0561757068999999E-3</v>
      </c>
      <c r="AD123">
        <v>7.2096291885999997E-3</v>
      </c>
      <c r="AE123">
        <v>7.3551356490999999E-3</v>
      </c>
      <c r="AF123">
        <v>7.5048692625E-3</v>
      </c>
      <c r="AG123">
        <v>7.6602695621000002E-3</v>
      </c>
      <c r="AH123">
        <v>7.8186326217999993E-3</v>
      </c>
      <c r="AI123">
        <v>7.9787239451999999E-3</v>
      </c>
      <c r="AJ123">
        <v>8.1418291180000001E-3</v>
      </c>
      <c r="AK123">
        <v>8.3045214429000001E-3</v>
      </c>
      <c r="AL123">
        <v>8.4664771722000008E-3</v>
      </c>
      <c r="AM123">
        <v>8.6280533681000002E-3</v>
      </c>
      <c r="AN123">
        <v>8.7888579583000007E-3</v>
      </c>
      <c r="AO123">
        <v>8.9490909067999995E-3</v>
      </c>
      <c r="AP123">
        <v>9.1076408908999998E-3</v>
      </c>
      <c r="AQ123">
        <v>9.2626006920999999E-3</v>
      </c>
      <c r="AR123">
        <v>9.4133511156000004E-3</v>
      </c>
      <c r="AS123">
        <v>9.5636422668999993E-3</v>
      </c>
    </row>
    <row r="124" spans="1:45" hidden="1" x14ac:dyDescent="0.3">
      <c r="A124" t="s">
        <v>809</v>
      </c>
      <c r="B124" t="s">
        <v>685</v>
      </c>
      <c r="C124" t="s">
        <v>681</v>
      </c>
      <c r="D124" t="s">
        <v>680</v>
      </c>
      <c r="E124" t="s">
        <v>8</v>
      </c>
      <c r="F124">
        <v>999</v>
      </c>
      <c r="G124">
        <v>999</v>
      </c>
      <c r="H124">
        <v>999</v>
      </c>
      <c r="I124">
        <v>999</v>
      </c>
      <c r="J124">
        <v>4.2634766501000003E-3</v>
      </c>
      <c r="K124">
        <v>4.3876371917000003E-3</v>
      </c>
      <c r="L124">
        <v>4.9985796877425699E-3</v>
      </c>
      <c r="M124">
        <v>5.6356282958349296E-3</v>
      </c>
      <c r="N124">
        <v>6.3019106037403702E-3</v>
      </c>
      <c r="O124">
        <v>6.9477565212562702E-3</v>
      </c>
      <c r="P124">
        <v>7.5436687630073404E-3</v>
      </c>
      <c r="Q124">
        <v>8.1298267474265492E-3</v>
      </c>
      <c r="R124">
        <v>8.7151380808647393E-3</v>
      </c>
      <c r="S124">
        <v>9.32810999142418E-3</v>
      </c>
      <c r="T124">
        <v>9.9281387929872605E-3</v>
      </c>
      <c r="U124">
        <v>1.0552246282235301E-2</v>
      </c>
      <c r="V124">
        <v>1.1209600161588999E-2</v>
      </c>
      <c r="W124">
        <v>1.1873319379349699E-2</v>
      </c>
      <c r="X124">
        <v>1.23698670647206E-2</v>
      </c>
      <c r="Y124">
        <v>1.26664436664881E-2</v>
      </c>
      <c r="Z124">
        <v>1.29528181341904E-2</v>
      </c>
      <c r="AA124">
        <v>1.3183669991008E-2</v>
      </c>
      <c r="AB124">
        <v>1.34484695118676E-2</v>
      </c>
      <c r="AC124">
        <v>1.3694719061116301E-2</v>
      </c>
      <c r="AD124">
        <v>1.3955658093541301E-2</v>
      </c>
      <c r="AE124">
        <v>1.4213832525401E-2</v>
      </c>
      <c r="AF124">
        <v>1.4460096760240499E-2</v>
      </c>
      <c r="AG124">
        <v>1.4723589268527E-2</v>
      </c>
      <c r="AH124">
        <v>1.49994255322642E-2</v>
      </c>
      <c r="AI124">
        <v>1.5272635897398801E-2</v>
      </c>
      <c r="AJ124">
        <v>1.55429199783586E-2</v>
      </c>
      <c r="AK124">
        <v>1.5805419143938501E-2</v>
      </c>
      <c r="AL124">
        <v>1.6069552560091099E-2</v>
      </c>
      <c r="AM124">
        <v>1.6333832790805199E-2</v>
      </c>
      <c r="AN124">
        <v>1.65961316514802E-2</v>
      </c>
      <c r="AO124">
        <v>1.6861140636071501E-2</v>
      </c>
      <c r="AP124">
        <v>1.71362285663345E-2</v>
      </c>
      <c r="AQ124">
        <v>1.73952534324016E-2</v>
      </c>
      <c r="AR124">
        <v>1.76536331745651E-2</v>
      </c>
      <c r="AS124">
        <v>1.7901773740653101E-2</v>
      </c>
    </row>
    <row r="125" spans="1:45" hidden="1" x14ac:dyDescent="0.3">
      <c r="A125" t="s">
        <v>809</v>
      </c>
      <c r="B125" t="s">
        <v>684</v>
      </c>
      <c r="C125" t="s">
        <v>681</v>
      </c>
      <c r="D125" t="s">
        <v>680</v>
      </c>
      <c r="E125" t="s">
        <v>8</v>
      </c>
      <c r="F125">
        <v>999</v>
      </c>
      <c r="G125">
        <v>999</v>
      </c>
      <c r="H125">
        <v>999</v>
      </c>
      <c r="I125">
        <v>999</v>
      </c>
      <c r="J125">
        <v>8.5269533002000004E-4</v>
      </c>
      <c r="K125">
        <v>8.7752743833999995E-4</v>
      </c>
      <c r="L125">
        <v>4.3246842723857601E-5</v>
      </c>
      <c r="M125">
        <v>4.5505863629915099E-5</v>
      </c>
      <c r="N125">
        <v>4.8101338869344802E-5</v>
      </c>
      <c r="O125">
        <v>5.0843041443130199E-5</v>
      </c>
      <c r="P125">
        <v>5.36872027400394E-5</v>
      </c>
      <c r="Q125">
        <v>5.6633209678985503E-5</v>
      </c>
      <c r="R125">
        <v>5.9708673808180501E-5</v>
      </c>
      <c r="S125">
        <v>6.2774416686289103E-5</v>
      </c>
      <c r="T125">
        <v>6.5797395540754996E-5</v>
      </c>
      <c r="U125">
        <v>6.8780871465440598E-5</v>
      </c>
      <c r="V125">
        <v>7.1888395711996103E-5</v>
      </c>
      <c r="W125">
        <v>7.4935017185382999E-5</v>
      </c>
      <c r="X125">
        <v>7.9088760909238394E-5</v>
      </c>
      <c r="Y125">
        <v>8.1449212831324896E-5</v>
      </c>
      <c r="Z125">
        <v>8.50365634490417E-5</v>
      </c>
      <c r="AA125">
        <v>8.8412474325549995E-5</v>
      </c>
      <c r="AB125">
        <v>9.1716654989522202E-5</v>
      </c>
      <c r="AC125">
        <v>9.4963556415598606E-5</v>
      </c>
      <c r="AD125">
        <v>9.8185834938771099E-5</v>
      </c>
      <c r="AE125">
        <v>1.01279748987966E-4</v>
      </c>
      <c r="AF125">
        <v>1.04375627032236E-4</v>
      </c>
      <c r="AG125">
        <v>1.0756697635322299E-4</v>
      </c>
      <c r="AH125">
        <v>1.10922584517381E-4</v>
      </c>
      <c r="AI125">
        <v>1.14639436427693E-4</v>
      </c>
      <c r="AJ125">
        <v>1.1821422241172701E-4</v>
      </c>
      <c r="AK125">
        <v>1.2201583392602799E-4</v>
      </c>
      <c r="AL125">
        <v>1.25999735755099E-4</v>
      </c>
      <c r="AM125">
        <v>1.3015992559519901E-4</v>
      </c>
      <c r="AN125">
        <v>1.3287465642386999E-4</v>
      </c>
      <c r="AO125">
        <v>1.37219392859761E-4</v>
      </c>
      <c r="AP125">
        <v>1.41526413966447E-4</v>
      </c>
      <c r="AQ125">
        <v>1.4583830232023899E-4</v>
      </c>
      <c r="AR125">
        <v>1.5036941096586599E-4</v>
      </c>
      <c r="AS125">
        <v>1.5518782114302301E-4</v>
      </c>
    </row>
    <row r="126" spans="1:45" hidden="1" x14ac:dyDescent="0.3">
      <c r="A126" t="s">
        <v>809</v>
      </c>
      <c r="B126" t="s">
        <v>682</v>
      </c>
      <c r="C126" t="s">
        <v>681</v>
      </c>
      <c r="D126" t="s">
        <v>680</v>
      </c>
      <c r="E126" t="s">
        <v>8</v>
      </c>
      <c r="F126">
        <v>999</v>
      </c>
      <c r="G126">
        <v>999</v>
      </c>
      <c r="H126">
        <v>999</v>
      </c>
      <c r="I126">
        <v>999</v>
      </c>
      <c r="J126">
        <v>8.5269533002000004E-4</v>
      </c>
      <c r="K126">
        <v>8.7752743833999995E-4</v>
      </c>
      <c r="L126">
        <v>4.8378400623699603E-5</v>
      </c>
      <c r="M126">
        <v>5.5728814673486202E-5</v>
      </c>
      <c r="N126">
        <v>6.3768042161974206E-5</v>
      </c>
      <c r="O126">
        <v>7.2183774773425697E-5</v>
      </c>
      <c r="P126">
        <v>8.0624690490770402E-5</v>
      </c>
      <c r="Q126">
        <v>8.9311655125397601E-5</v>
      </c>
      <c r="R126">
        <v>9.8377718877108296E-5</v>
      </c>
      <c r="S126">
        <v>1.0790070470475999E-4</v>
      </c>
      <c r="T126">
        <v>1.17234221463142E-4</v>
      </c>
      <c r="U126">
        <v>1.2665189683101001E-4</v>
      </c>
      <c r="V126">
        <v>1.3651543827200699E-4</v>
      </c>
      <c r="W126">
        <v>1.4647640598058101E-4</v>
      </c>
      <c r="X126">
        <v>1.5677673683352301E-4</v>
      </c>
      <c r="Y126">
        <v>1.6101499564865701E-4</v>
      </c>
      <c r="Z126">
        <v>1.6749005458194599E-4</v>
      </c>
      <c r="AA126">
        <v>1.7293892376616301E-4</v>
      </c>
      <c r="AB126">
        <v>1.7877183700472E-4</v>
      </c>
      <c r="AC126">
        <v>1.84284600076071E-4</v>
      </c>
      <c r="AD126">
        <v>1.9004047818553399E-4</v>
      </c>
      <c r="AE126">
        <v>1.95710017190207E-4</v>
      </c>
      <c r="AF126">
        <v>2.0109713361452701E-4</v>
      </c>
      <c r="AG126">
        <v>2.0674486899837499E-4</v>
      </c>
      <c r="AH126">
        <v>2.1279241337515101E-4</v>
      </c>
      <c r="AI126">
        <v>2.1943817707696E-4</v>
      </c>
      <c r="AJ126">
        <v>2.2567339262712099E-4</v>
      </c>
      <c r="AK126">
        <v>2.3222426610107499E-4</v>
      </c>
      <c r="AL126">
        <v>2.39150160697594E-4</v>
      </c>
      <c r="AM126">
        <v>2.46406735103885E-4</v>
      </c>
      <c r="AN126">
        <v>2.5090919680562302E-4</v>
      </c>
      <c r="AO126">
        <v>2.5853748778512098E-4</v>
      </c>
      <c r="AP126">
        <v>2.6628509039327598E-4</v>
      </c>
      <c r="AQ126">
        <v>2.7388573828681598E-4</v>
      </c>
      <c r="AR126">
        <v>2.82000149496988E-4</v>
      </c>
      <c r="AS126">
        <v>2.9048945829169702E-4</v>
      </c>
    </row>
    <row r="127" spans="1:45" hidden="1" x14ac:dyDescent="0.3">
      <c r="A127" t="s">
        <v>808</v>
      </c>
      <c r="B127" t="s">
        <v>686</v>
      </c>
      <c r="C127" t="s">
        <v>681</v>
      </c>
      <c r="D127" t="s">
        <v>680</v>
      </c>
      <c r="E127" t="s">
        <v>22</v>
      </c>
      <c r="F127">
        <v>12.301961844082101</v>
      </c>
      <c r="G127">
        <v>6.3299545932510402</v>
      </c>
      <c r="H127">
        <v>11.2595125683668</v>
      </c>
      <c r="I127">
        <v>276.97189138460197</v>
      </c>
      <c r="J127">
        <v>0.34761580864769998</v>
      </c>
      <c r="K127">
        <v>0.34809760228140002</v>
      </c>
      <c r="L127">
        <v>0.34749909686656799</v>
      </c>
      <c r="M127">
        <v>0.351235037151025</v>
      </c>
      <c r="N127">
        <v>0.353280364807259</v>
      </c>
      <c r="O127">
        <v>0.35281057063096999</v>
      </c>
      <c r="P127">
        <v>0.349322297597359</v>
      </c>
      <c r="Q127">
        <v>0.34715233219828201</v>
      </c>
      <c r="R127">
        <v>0.345511183090563</v>
      </c>
      <c r="S127">
        <v>0.34473137281190103</v>
      </c>
      <c r="T127">
        <v>0.34230290637863398</v>
      </c>
      <c r="U127">
        <v>0.340088290492089</v>
      </c>
      <c r="V127">
        <v>0.33869949214484601</v>
      </c>
      <c r="W127">
        <v>0.33791810389688598</v>
      </c>
      <c r="X127">
        <v>0.33826143257775299</v>
      </c>
      <c r="Y127">
        <v>0.33837658346694</v>
      </c>
      <c r="Z127">
        <v>0.33832300185134601</v>
      </c>
      <c r="AA127">
        <v>0.33722574001519201</v>
      </c>
      <c r="AB127">
        <v>0.33736074907283597</v>
      </c>
      <c r="AC127">
        <v>0.33743637155851403</v>
      </c>
      <c r="AD127">
        <v>0.33827749353437098</v>
      </c>
      <c r="AE127">
        <v>0.33937678370803598</v>
      </c>
      <c r="AF127">
        <v>0.33994124487363198</v>
      </c>
      <c r="AG127">
        <v>0.340634840914319</v>
      </c>
      <c r="AH127">
        <v>0.341592937674492</v>
      </c>
      <c r="AI127">
        <v>0.34272035619711699</v>
      </c>
      <c r="AJ127">
        <v>0.34343609979800299</v>
      </c>
      <c r="AK127">
        <v>0.34431823006685303</v>
      </c>
      <c r="AL127">
        <v>0.34531575563449401</v>
      </c>
      <c r="AM127">
        <v>0.34653278700022</v>
      </c>
      <c r="AN127">
        <v>0.34777786340953798</v>
      </c>
      <c r="AO127">
        <v>0.34910738412348002</v>
      </c>
      <c r="AP127">
        <v>0.35067920650303203</v>
      </c>
      <c r="AQ127">
        <v>0.352001071884678</v>
      </c>
      <c r="AR127">
        <v>0.35366607554642898</v>
      </c>
      <c r="AS127">
        <v>0.35528747206821398</v>
      </c>
    </row>
    <row r="128" spans="1:45" hidden="1" x14ac:dyDescent="0.3">
      <c r="A128" t="s">
        <v>808</v>
      </c>
      <c r="B128" t="s">
        <v>685</v>
      </c>
      <c r="C128" t="s">
        <v>681</v>
      </c>
      <c r="D128" t="s">
        <v>680</v>
      </c>
      <c r="E128" t="s">
        <v>22</v>
      </c>
      <c r="F128">
        <v>12.301961844082101</v>
      </c>
      <c r="G128">
        <v>6.3299545932510402</v>
      </c>
      <c r="H128">
        <v>11.2595125683668</v>
      </c>
      <c r="I128">
        <v>276.97189138460197</v>
      </c>
      <c r="J128">
        <v>0.34761580864769998</v>
      </c>
      <c r="K128">
        <v>0.34809760228140002</v>
      </c>
      <c r="L128">
        <v>0.321862841691264</v>
      </c>
      <c r="M128">
        <v>0.30161622486595702</v>
      </c>
      <c r="N128">
        <v>0.28007709015688897</v>
      </c>
      <c r="O128">
        <v>0.25719426101276299</v>
      </c>
      <c r="P128">
        <v>0.233162167847316</v>
      </c>
      <c r="Q128">
        <v>0.21111485225476201</v>
      </c>
      <c r="R128">
        <v>0.19038551417569599</v>
      </c>
      <c r="S128">
        <v>0.170986122577586</v>
      </c>
      <c r="T128">
        <v>0.15161175393228901</v>
      </c>
      <c r="U128">
        <v>0.133246936365328</v>
      </c>
      <c r="V128">
        <v>0.116025715945634</v>
      </c>
      <c r="W128">
        <v>9.9705011092213802E-2</v>
      </c>
      <c r="X128">
        <v>9.1635706588942101E-2</v>
      </c>
      <c r="Y128">
        <v>9.1357278494419297E-2</v>
      </c>
      <c r="Z128">
        <v>9.1037453595318202E-2</v>
      </c>
      <c r="AA128">
        <v>9.0443047272703705E-2</v>
      </c>
      <c r="AB128">
        <v>9.0184506599340006E-2</v>
      </c>
      <c r="AC128">
        <v>8.99143504718347E-2</v>
      </c>
      <c r="AD128">
        <v>8.9852066240420303E-2</v>
      </c>
      <c r="AE128">
        <v>8.9861515823800794E-2</v>
      </c>
      <c r="AF128">
        <v>8.9732519231726302E-2</v>
      </c>
      <c r="AG128">
        <v>8.9640987496163907E-2</v>
      </c>
      <c r="AH128">
        <v>8.9622012077167801E-2</v>
      </c>
      <c r="AI128">
        <v>8.9782181398311706E-2</v>
      </c>
      <c r="AJ128">
        <v>8.9969684184905599E-2</v>
      </c>
      <c r="AK128">
        <v>9.02007751556715E-2</v>
      </c>
      <c r="AL128">
        <v>9.0462096141845694E-2</v>
      </c>
      <c r="AM128">
        <v>9.0780920888812996E-2</v>
      </c>
      <c r="AN128">
        <v>9.1107092573729606E-2</v>
      </c>
      <c r="AO128">
        <v>9.1455386066524993E-2</v>
      </c>
      <c r="AP128">
        <v>9.1867155135549203E-2</v>
      </c>
      <c r="AQ128">
        <v>9.2213443166980796E-2</v>
      </c>
      <c r="AR128">
        <v>9.2649622863007403E-2</v>
      </c>
      <c r="AS128">
        <v>9.3074378830971402E-2</v>
      </c>
    </row>
    <row r="129" spans="1:45" hidden="1" x14ac:dyDescent="0.3">
      <c r="A129" t="s">
        <v>808</v>
      </c>
      <c r="B129" t="s">
        <v>684</v>
      </c>
      <c r="C129" t="s">
        <v>681</v>
      </c>
      <c r="D129" t="s">
        <v>680</v>
      </c>
      <c r="E129" t="s">
        <v>22</v>
      </c>
      <c r="F129">
        <v>12.301961844082101</v>
      </c>
      <c r="G129">
        <v>6.3299545932510402</v>
      </c>
      <c r="H129">
        <v>27668968.153376602</v>
      </c>
      <c r="I129">
        <v>680626837.97061002</v>
      </c>
      <c r="J129">
        <v>2.9802322387695302E-17</v>
      </c>
      <c r="K129">
        <v>1.7229467630386399E-17</v>
      </c>
      <c r="L129">
        <v>4.2526739413570603E-7</v>
      </c>
      <c r="M129">
        <v>6.9691145808249699E-7</v>
      </c>
      <c r="N129">
        <v>9.2594829338975295E-7</v>
      </c>
      <c r="O129">
        <v>8.4426642707549E-7</v>
      </c>
      <c r="P129">
        <v>7.6435005438327798E-7</v>
      </c>
      <c r="Q129">
        <v>6.9545702103525404E-7</v>
      </c>
      <c r="R129">
        <v>6.3512306401878601E-7</v>
      </c>
      <c r="S129">
        <v>5.8272393380105499E-7</v>
      </c>
      <c r="T129">
        <v>5.3313980024308002E-7</v>
      </c>
      <c r="U129">
        <v>4.8925590634345995E-7</v>
      </c>
      <c r="V129">
        <v>4.6527637767791798E-7</v>
      </c>
      <c r="W129">
        <v>4.1634531635791101E-7</v>
      </c>
      <c r="X129">
        <v>3.7390079717338099E-7</v>
      </c>
      <c r="Y129">
        <v>3.35588948369026E-7</v>
      </c>
      <c r="Z129">
        <v>3.0104975482821502E-7</v>
      </c>
      <c r="AA129">
        <v>2.9548208728432699E-7</v>
      </c>
      <c r="AB129">
        <v>2.6536963581293802E-7</v>
      </c>
      <c r="AC129">
        <v>2.3827701380848901E-7</v>
      </c>
      <c r="AD129">
        <v>2.1446066060662299E-7</v>
      </c>
      <c r="AE129">
        <v>1.9323693148791799E-7</v>
      </c>
      <c r="AF129">
        <v>1.73880134448409E-7</v>
      </c>
      <c r="AG129">
        <v>1.7159845946729201E-7</v>
      </c>
      <c r="AH129">
        <v>1.5465514588356E-7</v>
      </c>
      <c r="AI129">
        <v>1.39465416163206E-7</v>
      </c>
      <c r="AJ129">
        <v>1.2562836793065101E-7</v>
      </c>
      <c r="AK129">
        <v>1.2405789147317401E-7</v>
      </c>
      <c r="AL129">
        <v>1.1184383302927E-7</v>
      </c>
      <c r="AM129">
        <v>1.00886005654931E-7</v>
      </c>
      <c r="AN129">
        <v>9.9675047591328599E-8</v>
      </c>
      <c r="AO129">
        <v>8.9916060522198699E-8</v>
      </c>
      <c r="AP129">
        <v>8.1170803919434603E-8</v>
      </c>
      <c r="AQ129">
        <v>7.3237948030233405E-8</v>
      </c>
      <c r="AR129">
        <v>6.62844371199608E-8</v>
      </c>
      <c r="AS129">
        <v>6.0072633147239701E-8</v>
      </c>
    </row>
    <row r="130" spans="1:45" hidden="1" x14ac:dyDescent="0.3">
      <c r="A130" t="s">
        <v>808</v>
      </c>
      <c r="B130" t="s">
        <v>682</v>
      </c>
      <c r="C130" t="s">
        <v>681</v>
      </c>
      <c r="D130" t="s">
        <v>680</v>
      </c>
      <c r="E130" t="s">
        <v>22</v>
      </c>
      <c r="F130">
        <v>12.301961844082101</v>
      </c>
      <c r="G130">
        <v>6.3299545932510402</v>
      </c>
      <c r="H130">
        <v>27668968.153376602</v>
      </c>
      <c r="I130">
        <v>680626837.97061002</v>
      </c>
      <c r="J130">
        <v>2.9802322387695302E-17</v>
      </c>
      <c r="K130">
        <v>1.7229467630386399E-17</v>
      </c>
      <c r="L130">
        <v>3.7710952247958601E-7</v>
      </c>
      <c r="M130">
        <v>5.6500134668312996E-7</v>
      </c>
      <c r="N130">
        <v>6.9029137854557502E-7</v>
      </c>
      <c r="O130">
        <v>5.7853624868299796E-7</v>
      </c>
      <c r="P130">
        <v>4.80256701464765E-7</v>
      </c>
      <c r="Q130">
        <v>3.99196926332079E-7</v>
      </c>
      <c r="R130">
        <v>3.3155088508501602E-7</v>
      </c>
      <c r="S130">
        <v>2.75222167223692E-7</v>
      </c>
      <c r="T130">
        <v>2.26509075412527E-7</v>
      </c>
      <c r="U130">
        <v>1.8584032244235301E-7</v>
      </c>
      <c r="V130">
        <v>1.5715019846148801E-7</v>
      </c>
      <c r="W130">
        <v>1.2361836356297101E-7</v>
      </c>
      <c r="X130">
        <v>1.02726574353874E-7</v>
      </c>
      <c r="Y130">
        <v>9.1541338201612206E-8</v>
      </c>
      <c r="Z130">
        <v>8.1600260449573397E-8</v>
      </c>
      <c r="AA130">
        <v>7.9652863569557697E-8</v>
      </c>
      <c r="AB130">
        <v>7.1175401886925101E-8</v>
      </c>
      <c r="AC130">
        <v>6.3617699151858701E-8</v>
      </c>
      <c r="AD130">
        <v>5.7022118989378201E-8</v>
      </c>
      <c r="AE130">
        <v>5.1185335112735601E-8</v>
      </c>
      <c r="AF130">
        <v>4.5898586068302401E-8</v>
      </c>
      <c r="AG130">
        <v>4.5152031529694799E-8</v>
      </c>
      <c r="AH130">
        <v>4.0572699200362E-8</v>
      </c>
      <c r="AI130">
        <v>3.6535645078867701E-8</v>
      </c>
      <c r="AJ130">
        <v>3.2910764452070001E-8</v>
      </c>
      <c r="AK130">
        <v>3.2499347981065502E-8</v>
      </c>
      <c r="AL130">
        <v>2.9299640692770502E-8</v>
      </c>
      <c r="AM130">
        <v>2.6429027337580901E-8</v>
      </c>
      <c r="AN130">
        <v>2.6111793588846898E-8</v>
      </c>
      <c r="AO130">
        <v>2.35552394390106E-8</v>
      </c>
      <c r="AP130">
        <v>2.12642514705658E-8</v>
      </c>
      <c r="AQ130">
        <v>1.9186087496578699E-8</v>
      </c>
      <c r="AR130">
        <v>1.7364481706172199E-8</v>
      </c>
      <c r="AS130">
        <v>1.57371803410351E-8</v>
      </c>
    </row>
    <row r="131" spans="1:45" hidden="1" x14ac:dyDescent="0.3">
      <c r="A131" t="s">
        <v>807</v>
      </c>
      <c r="B131" t="s">
        <v>686</v>
      </c>
      <c r="C131" t="s">
        <v>681</v>
      </c>
      <c r="D131" t="s">
        <v>680</v>
      </c>
      <c r="E131" t="s">
        <v>22</v>
      </c>
      <c r="F131">
        <v>12.8244887658908</v>
      </c>
      <c r="G131">
        <v>6.1730954120249999</v>
      </c>
      <c r="H131">
        <v>9.2897075686643298</v>
      </c>
      <c r="I131">
        <v>143.770960145983</v>
      </c>
      <c r="J131">
        <v>0.1141716042524</v>
      </c>
      <c r="K131">
        <v>0.1123541622432</v>
      </c>
      <c r="L131">
        <v>0.11092353649809999</v>
      </c>
      <c r="M131">
        <v>0.1107798461882</v>
      </c>
      <c r="N131">
        <v>0.11097512410469999</v>
      </c>
      <c r="O131">
        <v>0.1107830268561</v>
      </c>
      <c r="P131">
        <v>0.1104975271623</v>
      </c>
      <c r="Q131">
        <v>0.11036766747020001</v>
      </c>
      <c r="R131">
        <v>0.1104035249279</v>
      </c>
      <c r="S131">
        <v>0.110597295055</v>
      </c>
      <c r="T131">
        <v>0.1110324105873</v>
      </c>
      <c r="U131">
        <v>0.1117440376137</v>
      </c>
      <c r="V131">
        <v>0.11268692688119999</v>
      </c>
      <c r="W131">
        <v>0.11382120650579999</v>
      </c>
      <c r="X131">
        <v>0.1151376803855</v>
      </c>
      <c r="Y131">
        <v>0.1166722550088</v>
      </c>
      <c r="Z131">
        <v>0.1182042969322</v>
      </c>
      <c r="AA131">
        <v>0.1196094771237</v>
      </c>
      <c r="AB131">
        <v>0.1209693132617</v>
      </c>
      <c r="AC131">
        <v>0.12235099873620001</v>
      </c>
      <c r="AD131">
        <v>0.1237488502231</v>
      </c>
      <c r="AE131">
        <v>0.12508811431889999</v>
      </c>
      <c r="AF131">
        <v>0.12638855441890001</v>
      </c>
      <c r="AG131">
        <v>0.12768835790300001</v>
      </c>
      <c r="AH131">
        <v>0.1289688798093</v>
      </c>
      <c r="AI131">
        <v>0.13024377865190001</v>
      </c>
      <c r="AJ131">
        <v>0.13155626124719999</v>
      </c>
      <c r="AK131">
        <v>0.1328732741509</v>
      </c>
      <c r="AL131">
        <v>0.13422141264820001</v>
      </c>
      <c r="AM131">
        <v>0.1356342023546</v>
      </c>
      <c r="AN131">
        <v>0.13711610135659999</v>
      </c>
      <c r="AO131">
        <v>0.1386664322118</v>
      </c>
      <c r="AP131">
        <v>0.1402578120289</v>
      </c>
      <c r="AQ131">
        <v>0.1418388232691</v>
      </c>
      <c r="AR131">
        <v>0.14339112650159999</v>
      </c>
      <c r="AS131">
        <v>0.14496366097300001</v>
      </c>
    </row>
    <row r="132" spans="1:45" hidden="1" x14ac:dyDescent="0.3">
      <c r="A132" t="s">
        <v>807</v>
      </c>
      <c r="B132" t="s">
        <v>685</v>
      </c>
      <c r="C132" t="s">
        <v>681</v>
      </c>
      <c r="D132" t="s">
        <v>680</v>
      </c>
      <c r="E132" t="s">
        <v>22</v>
      </c>
      <c r="F132">
        <v>12.8244887658908</v>
      </c>
      <c r="G132">
        <v>6.1730954120249999</v>
      </c>
      <c r="H132">
        <v>9.2897075686643298</v>
      </c>
      <c r="I132">
        <v>143.770960145983</v>
      </c>
      <c r="J132">
        <v>0.1141716042524</v>
      </c>
      <c r="K132">
        <v>0.1123541622432</v>
      </c>
      <c r="L132">
        <v>0.105714692780413</v>
      </c>
      <c r="M132">
        <v>0.100745280420935</v>
      </c>
      <c r="N132">
        <v>9.6117583509444104E-2</v>
      </c>
      <c r="O132">
        <v>9.1194580056997501E-2</v>
      </c>
      <c r="P132">
        <v>8.61559520580749E-2</v>
      </c>
      <c r="Q132">
        <v>8.13238014043315E-2</v>
      </c>
      <c r="R132">
        <v>7.67363005427696E-2</v>
      </c>
      <c r="S132">
        <v>7.2492195252938096E-2</v>
      </c>
      <c r="T132">
        <v>6.8367549165569599E-2</v>
      </c>
      <c r="U132">
        <v>6.4490103987793798E-2</v>
      </c>
      <c r="V132">
        <v>6.08249545478729E-2</v>
      </c>
      <c r="W132">
        <v>5.7315487136324499E-2</v>
      </c>
      <c r="X132">
        <v>5.5856358523588799E-2</v>
      </c>
      <c r="Y132">
        <v>5.6344941229937898E-2</v>
      </c>
      <c r="Z132">
        <v>5.6775210171297601E-2</v>
      </c>
      <c r="AA132">
        <v>5.6958780695229701E-2</v>
      </c>
      <c r="AB132">
        <v>5.7307589452742197E-2</v>
      </c>
      <c r="AC132">
        <v>5.7612442916917798E-2</v>
      </c>
      <c r="AD132">
        <v>5.8025015400480898E-2</v>
      </c>
      <c r="AE132">
        <v>5.8465362986659497E-2</v>
      </c>
      <c r="AF132">
        <v>5.8808587001450301E-2</v>
      </c>
      <c r="AG132">
        <v>5.91807811186459E-2</v>
      </c>
      <c r="AH132">
        <v>5.9573923036425697E-2</v>
      </c>
      <c r="AI132">
        <v>5.9977077439403399E-2</v>
      </c>
      <c r="AJ132">
        <v>6.0409387736149303E-2</v>
      </c>
      <c r="AK132">
        <v>6.0829091013655898E-2</v>
      </c>
      <c r="AL132">
        <v>6.1278077501245802E-2</v>
      </c>
      <c r="AM132">
        <v>6.1762772622703799E-2</v>
      </c>
      <c r="AN132">
        <v>6.2279506922554802E-2</v>
      </c>
      <c r="AO132">
        <v>6.2843686889469799E-2</v>
      </c>
      <c r="AP132">
        <v>6.3477335869406695E-2</v>
      </c>
      <c r="AQ132">
        <v>6.4073023974774906E-2</v>
      </c>
      <c r="AR132">
        <v>6.4683632380929598E-2</v>
      </c>
      <c r="AS132">
        <v>6.5270084193576397E-2</v>
      </c>
    </row>
    <row r="133" spans="1:45" hidden="1" x14ac:dyDescent="0.3">
      <c r="A133" t="s">
        <v>807</v>
      </c>
      <c r="B133" t="s">
        <v>684</v>
      </c>
      <c r="C133" t="s">
        <v>681</v>
      </c>
      <c r="D133" t="s">
        <v>680</v>
      </c>
      <c r="E133" t="s">
        <v>22</v>
      </c>
      <c r="F133">
        <v>12.8244887658908</v>
      </c>
      <c r="G133">
        <v>6.1730954120249999</v>
      </c>
      <c r="H133">
        <v>222821.61502038399</v>
      </c>
      <c r="I133">
        <v>3415420.7855549399</v>
      </c>
      <c r="J133">
        <v>-3.7252902984619097E-18</v>
      </c>
      <c r="K133">
        <v>-8.7165972217917397E-18</v>
      </c>
      <c r="L133">
        <v>1.9031434148613399E-5</v>
      </c>
      <c r="M133">
        <v>2.85734300371094E-5</v>
      </c>
      <c r="N133">
        <v>3.58030233509928E-5</v>
      </c>
      <c r="O133">
        <v>3.2632561635863402E-5</v>
      </c>
      <c r="P133">
        <v>2.9768556323230301E-5</v>
      </c>
      <c r="Q133">
        <v>2.7235986034695899E-5</v>
      </c>
      <c r="R133">
        <v>2.50015213989855E-5</v>
      </c>
      <c r="S133">
        <v>2.3024377199771301E-5</v>
      </c>
      <c r="T133">
        <v>2.1282611274192001E-5</v>
      </c>
      <c r="U133">
        <v>1.9760547484994799E-5</v>
      </c>
      <c r="V133">
        <v>1.90147972381731E-5</v>
      </c>
      <c r="W133">
        <v>1.7243684191757599E-5</v>
      </c>
      <c r="X133">
        <v>1.5668703685504201E-5</v>
      </c>
      <c r="Y133">
        <v>1.42424149740828E-5</v>
      </c>
      <c r="Z133">
        <v>1.2948616506221499E-5</v>
      </c>
      <c r="AA133">
        <v>1.17591338330499E-5</v>
      </c>
      <c r="AB133">
        <v>1.06711755374665E-5</v>
      </c>
      <c r="AC133">
        <v>9.7415541514750807E-6</v>
      </c>
      <c r="AD133">
        <v>8.8390805661001894E-6</v>
      </c>
      <c r="AE133">
        <v>8.0184323055586995E-6</v>
      </c>
      <c r="AF133">
        <v>7.27257138096832E-6</v>
      </c>
      <c r="AG133">
        <v>6.5965962171462604E-6</v>
      </c>
      <c r="AH133">
        <v>5.9835990065718097E-6</v>
      </c>
      <c r="AI133">
        <v>5.4300235469027001E-6</v>
      </c>
      <c r="AJ133">
        <v>4.9259831093752301E-6</v>
      </c>
      <c r="AK133">
        <v>4.4690803649392897E-6</v>
      </c>
      <c r="AL133">
        <v>4.0572771433270503E-6</v>
      </c>
      <c r="AM133">
        <v>3.6820318960060802E-6</v>
      </c>
      <c r="AN133">
        <v>3.3442374813607899E-6</v>
      </c>
      <c r="AO133">
        <v>3.0363756383680699E-6</v>
      </c>
      <c r="AP133">
        <v>2.7700257620440099E-6</v>
      </c>
      <c r="AQ133">
        <v>2.51513355685968E-6</v>
      </c>
      <c r="AR133">
        <v>2.2963511012453801E-6</v>
      </c>
      <c r="AS133">
        <v>2.08770872583543E-6</v>
      </c>
    </row>
    <row r="134" spans="1:45" hidden="1" x14ac:dyDescent="0.3">
      <c r="A134" t="s">
        <v>807</v>
      </c>
      <c r="B134" t="s">
        <v>682</v>
      </c>
      <c r="C134" t="s">
        <v>681</v>
      </c>
      <c r="D134" t="s">
        <v>680</v>
      </c>
      <c r="E134" t="s">
        <v>22</v>
      </c>
      <c r="F134">
        <v>12.8244887658908</v>
      </c>
      <c r="G134">
        <v>6.1730954120249999</v>
      </c>
      <c r="H134">
        <v>222821.61502038399</v>
      </c>
      <c r="I134">
        <v>3415420.7855549399</v>
      </c>
      <c r="J134">
        <v>-3.7252902984619097E-18</v>
      </c>
      <c r="K134">
        <v>-8.7165972217917397E-18</v>
      </c>
      <c r="L134">
        <v>1.7673007859652499E-5</v>
      </c>
      <c r="M134">
        <v>2.5143639809532601E-5</v>
      </c>
      <c r="N134">
        <v>2.99666741891496E-5</v>
      </c>
      <c r="O134">
        <v>2.59688259210999E-5</v>
      </c>
      <c r="P134">
        <v>2.2464600284229198E-5</v>
      </c>
      <c r="Q134">
        <v>1.9460920764984701E-5</v>
      </c>
      <c r="R134">
        <v>1.6896194667565198E-5</v>
      </c>
      <c r="S134">
        <v>1.47274908932116E-5</v>
      </c>
      <c r="T134">
        <v>1.28477683016126E-5</v>
      </c>
      <c r="U134">
        <v>1.12483205490285E-5</v>
      </c>
      <c r="V134">
        <v>1.0207919879300099E-5</v>
      </c>
      <c r="W134">
        <v>8.7130120764606398E-6</v>
      </c>
      <c r="X134">
        <v>7.6498189628833207E-6</v>
      </c>
      <c r="Y134">
        <v>6.9110151448615903E-6</v>
      </c>
      <c r="Z134">
        <v>6.2413765360027898E-6</v>
      </c>
      <c r="AA134">
        <v>5.6142059581543999E-6</v>
      </c>
      <c r="AB134">
        <v>5.0644887699086103E-6</v>
      </c>
      <c r="AC134">
        <v>4.59305141950812E-6</v>
      </c>
      <c r="AD134">
        <v>4.1480517150939E-6</v>
      </c>
      <c r="AE134">
        <v>3.749625011675E-6</v>
      </c>
      <c r="AF134">
        <v>3.38480725399271E-6</v>
      </c>
      <c r="AG134">
        <v>3.0577025209214802E-6</v>
      </c>
      <c r="AH134">
        <v>2.7640297118653001E-6</v>
      </c>
      <c r="AI134">
        <v>2.50051822930103E-6</v>
      </c>
      <c r="AJ134">
        <v>2.26196473518939E-6</v>
      </c>
      <c r="AK134">
        <v>2.0459351062322402E-6</v>
      </c>
      <c r="AL134">
        <v>1.8523284648094001E-6</v>
      </c>
      <c r="AM134">
        <v>1.6766604207091099E-6</v>
      </c>
      <c r="AN134">
        <v>1.5189861680038199E-6</v>
      </c>
      <c r="AO134">
        <v>1.3760867489932E-6</v>
      </c>
      <c r="AP134">
        <v>1.2536475018290199E-6</v>
      </c>
      <c r="AQ134">
        <v>1.1361643376299801E-6</v>
      </c>
      <c r="AR134">
        <v>1.0358823036825601E-6</v>
      </c>
      <c r="AS134">
        <v>9.39993674255093E-7</v>
      </c>
    </row>
    <row r="135" spans="1:45" hidden="1" x14ac:dyDescent="0.3">
      <c r="A135" t="s">
        <v>806</v>
      </c>
      <c r="B135" t="s">
        <v>686</v>
      </c>
      <c r="C135" t="s">
        <v>681</v>
      </c>
      <c r="D135" t="s">
        <v>680</v>
      </c>
      <c r="E135" t="s">
        <v>22</v>
      </c>
      <c r="F135">
        <v>-15.504193190147801</v>
      </c>
      <c r="G135">
        <v>51.186125692074398</v>
      </c>
      <c r="H135">
        <v>91.048176896938998</v>
      </c>
      <c r="I135">
        <v>2239.6871631116001</v>
      </c>
      <c r="J135">
        <v>0.34761580864769998</v>
      </c>
      <c r="K135">
        <v>0.34809760228140002</v>
      </c>
      <c r="L135">
        <v>0.34749909686656799</v>
      </c>
      <c r="M135">
        <v>0.351235037151025</v>
      </c>
      <c r="N135">
        <v>0.353280364807259</v>
      </c>
      <c r="O135">
        <v>0.35281057063096999</v>
      </c>
      <c r="P135">
        <v>0.349322297597359</v>
      </c>
      <c r="Q135">
        <v>0.34715233219828201</v>
      </c>
      <c r="R135">
        <v>0.345511183090563</v>
      </c>
      <c r="S135">
        <v>0.34473137281190103</v>
      </c>
      <c r="T135">
        <v>0.34230290637863398</v>
      </c>
      <c r="U135">
        <v>0.340088290492089</v>
      </c>
      <c r="V135">
        <v>0.33869949214484601</v>
      </c>
      <c r="W135">
        <v>0.33791810389688598</v>
      </c>
      <c r="X135">
        <v>0.33826143257775299</v>
      </c>
      <c r="Y135">
        <v>0.33837658346694</v>
      </c>
      <c r="Z135">
        <v>0.33832300185134601</v>
      </c>
      <c r="AA135">
        <v>0.33722574001519201</v>
      </c>
      <c r="AB135">
        <v>0.33736074907283597</v>
      </c>
      <c r="AC135">
        <v>0.33743637155851403</v>
      </c>
      <c r="AD135">
        <v>0.33827749353437098</v>
      </c>
      <c r="AE135">
        <v>0.33937678370803598</v>
      </c>
      <c r="AF135">
        <v>0.33994124487363198</v>
      </c>
      <c r="AG135">
        <v>0.340634840914319</v>
      </c>
      <c r="AH135">
        <v>0.341592937674492</v>
      </c>
      <c r="AI135">
        <v>0.34272035619711699</v>
      </c>
      <c r="AJ135">
        <v>0.34343609979800299</v>
      </c>
      <c r="AK135">
        <v>0.34431823006685303</v>
      </c>
      <c r="AL135">
        <v>0.34531575563449401</v>
      </c>
      <c r="AM135">
        <v>0.34653278700022</v>
      </c>
      <c r="AN135">
        <v>0.34777786340953798</v>
      </c>
      <c r="AO135">
        <v>0.34910738412348002</v>
      </c>
      <c r="AP135">
        <v>0.35067920650303203</v>
      </c>
      <c r="AQ135">
        <v>0.352001071884678</v>
      </c>
      <c r="AR135">
        <v>0.35366607554642898</v>
      </c>
      <c r="AS135">
        <v>0.35528747206821398</v>
      </c>
    </row>
    <row r="136" spans="1:45" hidden="1" x14ac:dyDescent="0.3">
      <c r="A136" t="s">
        <v>806</v>
      </c>
      <c r="B136" t="s">
        <v>685</v>
      </c>
      <c r="C136" t="s">
        <v>681</v>
      </c>
      <c r="D136" t="s">
        <v>680</v>
      </c>
      <c r="E136" t="s">
        <v>22</v>
      </c>
      <c r="F136">
        <v>-15.504193190147801</v>
      </c>
      <c r="G136">
        <v>51.186125692074398</v>
      </c>
      <c r="H136">
        <v>91.048176896938998</v>
      </c>
      <c r="I136">
        <v>2239.6871631116001</v>
      </c>
      <c r="J136">
        <v>0.34761580864769998</v>
      </c>
      <c r="K136">
        <v>0.34809760228140002</v>
      </c>
      <c r="L136">
        <v>0.34676747210380898</v>
      </c>
      <c r="M136">
        <v>0.34981898197767097</v>
      </c>
      <c r="N136">
        <v>0.35119124031996601</v>
      </c>
      <c r="O136">
        <v>0.35008180781588899</v>
      </c>
      <c r="P136">
        <v>0.346007241369792</v>
      </c>
      <c r="Q136">
        <v>0.34327000272740599</v>
      </c>
      <c r="R136">
        <v>0.34108410199226902</v>
      </c>
      <c r="S136">
        <v>0.33977291352781702</v>
      </c>
      <c r="T136">
        <v>0.33686083349338902</v>
      </c>
      <c r="U136">
        <v>0.33418531224480402</v>
      </c>
      <c r="V136">
        <v>0.33234467754457397</v>
      </c>
      <c r="W136">
        <v>0.33111981778538202</v>
      </c>
      <c r="X136">
        <v>0.33122306105925697</v>
      </c>
      <c r="Y136">
        <v>0.33132697972561598</v>
      </c>
      <c r="Z136">
        <v>0.33126579987939903</v>
      </c>
      <c r="AA136">
        <v>0.33018288887347802</v>
      </c>
      <c r="AB136">
        <v>0.33030666654312701</v>
      </c>
      <c r="AC136">
        <v>0.330372420965233</v>
      </c>
      <c r="AD136">
        <v>0.33118776092466201</v>
      </c>
      <c r="AE136">
        <v>0.33225594849157503</v>
      </c>
      <c r="AF136">
        <v>0.33280061929138</v>
      </c>
      <c r="AG136">
        <v>0.33347180882538002</v>
      </c>
      <c r="AH136">
        <v>0.33440202123987101</v>
      </c>
      <c r="AI136">
        <v>0.33550183575158599</v>
      </c>
      <c r="AJ136">
        <v>0.33620250405938401</v>
      </c>
      <c r="AK136">
        <v>0.337066054529088</v>
      </c>
      <c r="AL136">
        <v>0.33804256979321301</v>
      </c>
      <c r="AM136">
        <v>0.33923396753188001</v>
      </c>
      <c r="AN136">
        <v>0.34045281961762103</v>
      </c>
      <c r="AO136">
        <v>0.34175433740648797</v>
      </c>
      <c r="AP136">
        <v>0.34329305340126298</v>
      </c>
      <c r="AQ136">
        <v>0.34458707709766501</v>
      </c>
      <c r="AR136">
        <v>0.34621701175123798</v>
      </c>
      <c r="AS136">
        <v>0.34780425773678803</v>
      </c>
    </row>
    <row r="137" spans="1:45" hidden="1" x14ac:dyDescent="0.3">
      <c r="A137" t="s">
        <v>806</v>
      </c>
      <c r="B137" t="s">
        <v>684</v>
      </c>
      <c r="C137" t="s">
        <v>681</v>
      </c>
      <c r="D137" t="s">
        <v>680</v>
      </c>
      <c r="E137" t="s">
        <v>22</v>
      </c>
      <c r="F137">
        <v>-15.504193190147801</v>
      </c>
      <c r="G137">
        <v>51.186125692074398</v>
      </c>
      <c r="H137">
        <v>2147.0328637556299</v>
      </c>
      <c r="I137">
        <v>52814.697752523898</v>
      </c>
      <c r="J137">
        <v>2.9802322387695302E-17</v>
      </c>
      <c r="K137">
        <v>1.7229467630386399E-17</v>
      </c>
      <c r="L137">
        <v>3.4361152392762502E-2</v>
      </c>
      <c r="M137">
        <v>6.6589167904772095E-2</v>
      </c>
      <c r="N137">
        <v>9.6038529683982202E-2</v>
      </c>
      <c r="O137">
        <v>8.7571221840656105E-2</v>
      </c>
      <c r="P137">
        <v>7.9288109286460101E-2</v>
      </c>
      <c r="Q137">
        <v>7.2148309662064897E-2</v>
      </c>
      <c r="R137">
        <v>6.5895823310586799E-2</v>
      </c>
      <c r="S137">
        <v>6.0465619067602401E-2</v>
      </c>
      <c r="T137">
        <v>5.5326460340314701E-2</v>
      </c>
      <c r="U137">
        <v>5.0778127772110798E-2</v>
      </c>
      <c r="V137">
        <v>4.8292942826918803E-2</v>
      </c>
      <c r="W137">
        <v>4.3220540264588901E-2</v>
      </c>
      <c r="X137">
        <v>3.8821376020397598E-2</v>
      </c>
      <c r="Y137">
        <v>3.4850729469159E-2</v>
      </c>
      <c r="Z137">
        <v>3.1271340882526699E-2</v>
      </c>
      <c r="AA137">
        <v>3.0694210646645001E-2</v>
      </c>
      <c r="AB137">
        <v>2.7573588415645001E-2</v>
      </c>
      <c r="AC137">
        <v>2.4766142309357302E-2</v>
      </c>
      <c r="AD137">
        <v>2.2298707410413499E-2</v>
      </c>
      <c r="AE137">
        <v>2.0100166750463801E-2</v>
      </c>
      <c r="AF137">
        <v>1.8095035472672799E-2</v>
      </c>
      <c r="AG137">
        <v>1.78589771999197E-2</v>
      </c>
      <c r="AH137">
        <v>1.61050634744862E-2</v>
      </c>
      <c r="AI137">
        <v>1.4533575216281701E-2</v>
      </c>
      <c r="AJ137">
        <v>1.31019532292206E-2</v>
      </c>
      <c r="AK137">
        <v>1.29398500133507E-2</v>
      </c>
      <c r="AL137">
        <v>1.1677317210185599E-2</v>
      </c>
      <c r="AM137">
        <v>1.05451202056635E-2</v>
      </c>
      <c r="AN137">
        <v>1.0420433819533E-2</v>
      </c>
      <c r="AO137">
        <v>9.4123075509320794E-3</v>
      </c>
      <c r="AP137">
        <v>8.5090732244103295E-3</v>
      </c>
      <c r="AQ137">
        <v>7.68977717769939E-3</v>
      </c>
      <c r="AR137">
        <v>6.9720306950489096E-3</v>
      </c>
      <c r="AS137">
        <v>6.33128351448339E-3</v>
      </c>
    </row>
    <row r="138" spans="1:45" hidden="1" x14ac:dyDescent="0.3">
      <c r="A138" t="s">
        <v>806</v>
      </c>
      <c r="B138" t="s">
        <v>682</v>
      </c>
      <c r="C138" t="s">
        <v>681</v>
      </c>
      <c r="D138" t="s">
        <v>680</v>
      </c>
      <c r="E138" t="s">
        <v>22</v>
      </c>
      <c r="F138">
        <v>-15.504193190147801</v>
      </c>
      <c r="G138">
        <v>51.186125692074398</v>
      </c>
      <c r="H138">
        <v>2147.0328637556299</v>
      </c>
      <c r="I138">
        <v>52814.697752523898</v>
      </c>
      <c r="J138">
        <v>2.9802322387695302E-17</v>
      </c>
      <c r="K138">
        <v>1.7229467630386399E-17</v>
      </c>
      <c r="L138">
        <v>3.4250105418256203E-2</v>
      </c>
      <c r="M138">
        <v>6.6229216448851394E-2</v>
      </c>
      <c r="N138">
        <v>9.5340790816270199E-2</v>
      </c>
      <c r="O138">
        <v>8.6784442743464696E-2</v>
      </c>
      <c r="P138">
        <v>7.8446931515798804E-2</v>
      </c>
      <c r="Q138">
        <v>7.1271058753815994E-2</v>
      </c>
      <c r="R138">
        <v>6.4996858483534606E-2</v>
      </c>
      <c r="S138">
        <v>5.95549475050937E-2</v>
      </c>
      <c r="T138">
        <v>5.4418294132950303E-2</v>
      </c>
      <c r="U138">
        <v>4.9879402235137399E-2</v>
      </c>
      <c r="V138">
        <v>4.73802131487394E-2</v>
      </c>
      <c r="W138">
        <v>4.2353312822000701E-2</v>
      </c>
      <c r="X138">
        <v>3.8017861393913298E-2</v>
      </c>
      <c r="Y138">
        <v>3.4127443425046297E-2</v>
      </c>
      <c r="Z138">
        <v>3.0620800226399E-2</v>
      </c>
      <c r="AA138">
        <v>3.0054376648536898E-2</v>
      </c>
      <c r="AB138">
        <v>2.6997737051058301E-2</v>
      </c>
      <c r="AC138">
        <v>2.4248058311535599E-2</v>
      </c>
      <c r="AD138">
        <v>2.18315368170964E-2</v>
      </c>
      <c r="AE138">
        <v>1.9678481672298902E-2</v>
      </c>
      <c r="AF138">
        <v>1.7714942658759499E-2</v>
      </c>
      <c r="AG138">
        <v>1.7483414099819201E-2</v>
      </c>
      <c r="AH138">
        <v>1.57660238563316E-2</v>
      </c>
      <c r="AI138">
        <v>1.4227462935676401E-2</v>
      </c>
      <c r="AJ138">
        <v>1.28259943736949E-2</v>
      </c>
      <c r="AK138">
        <v>1.26673054440116E-2</v>
      </c>
      <c r="AL138">
        <v>1.14313646383395E-2</v>
      </c>
      <c r="AM138">
        <v>1.0323014443841099E-2</v>
      </c>
      <c r="AN138">
        <v>1.0200954254874901E-2</v>
      </c>
      <c r="AO138">
        <v>9.2140615662174696E-3</v>
      </c>
      <c r="AP138">
        <v>8.3298515413901802E-3</v>
      </c>
      <c r="AQ138">
        <v>7.5278118529817804E-3</v>
      </c>
      <c r="AR138">
        <v>6.8251828489578501E-3</v>
      </c>
      <c r="AS138">
        <v>6.19793135529767E-3</v>
      </c>
    </row>
    <row r="139" spans="1:45" hidden="1" x14ac:dyDescent="0.3">
      <c r="A139" t="s">
        <v>805</v>
      </c>
      <c r="B139" t="s">
        <v>686</v>
      </c>
      <c r="C139" t="s">
        <v>681</v>
      </c>
      <c r="D139" t="s">
        <v>680</v>
      </c>
      <c r="E139" t="s">
        <v>679</v>
      </c>
      <c r="F139">
        <v>999</v>
      </c>
      <c r="G139">
        <v>0</v>
      </c>
      <c r="H139">
        <v>999</v>
      </c>
      <c r="I139">
        <v>999</v>
      </c>
      <c r="J139">
        <v>0.114207497302575</v>
      </c>
      <c r="K139">
        <v>9.0661566116010298E-2</v>
      </c>
      <c r="L139">
        <v>8.3539863329929506E-2</v>
      </c>
      <c r="M139">
        <v>0.13043111560752099</v>
      </c>
      <c r="N139">
        <v>0.12978333852555299</v>
      </c>
      <c r="O139">
        <v>0.112211855386076</v>
      </c>
      <c r="P139">
        <v>0.109985182894085</v>
      </c>
      <c r="Q139">
        <v>0.108038143301354</v>
      </c>
      <c r="R139">
        <v>0.106387893394727</v>
      </c>
      <c r="S139">
        <v>0.104909407081006</v>
      </c>
      <c r="T139">
        <v>0.103468061725945</v>
      </c>
      <c r="U139">
        <v>0.101968092289107</v>
      </c>
      <c r="V139">
        <v>0.100653679894582</v>
      </c>
      <c r="W139">
        <v>9.9308119789995306E-2</v>
      </c>
      <c r="X139">
        <v>9.8070325856088006E-2</v>
      </c>
      <c r="Y139">
        <v>9.6792706583092802E-2</v>
      </c>
      <c r="Z139">
        <v>9.5488948894907597E-2</v>
      </c>
      <c r="AA139">
        <v>9.4160830754452002E-2</v>
      </c>
      <c r="AB139">
        <v>9.2820819502900095E-2</v>
      </c>
      <c r="AC139">
        <v>9.1498829421029507E-2</v>
      </c>
      <c r="AD139">
        <v>9.0207508246430104E-2</v>
      </c>
      <c r="AE139">
        <v>8.8923408767305701E-2</v>
      </c>
      <c r="AF139">
        <v>8.7603963689941902E-2</v>
      </c>
      <c r="AG139">
        <v>8.6334566034936902E-2</v>
      </c>
      <c r="AH139">
        <v>8.5099507138549899E-2</v>
      </c>
      <c r="AI139">
        <v>8.3821787475759496E-2</v>
      </c>
      <c r="AJ139">
        <v>8.25566606872742E-2</v>
      </c>
      <c r="AK139">
        <v>8.1324683316178301E-2</v>
      </c>
      <c r="AL139">
        <v>8.00782552263158E-2</v>
      </c>
      <c r="AM139">
        <v>7.8861669695410599E-2</v>
      </c>
      <c r="AN139">
        <v>7.7683475215122894E-2</v>
      </c>
      <c r="AO139">
        <v>7.6459299441264297E-2</v>
      </c>
      <c r="AP139">
        <v>7.5223725620038095E-2</v>
      </c>
      <c r="AQ139">
        <v>7.4069936368082206E-2</v>
      </c>
      <c r="AR139">
        <v>7.2821523522906897E-2</v>
      </c>
      <c r="AS139">
        <v>7.1572245339568602E-2</v>
      </c>
    </row>
    <row r="140" spans="1:45" hidden="1" x14ac:dyDescent="0.3">
      <c r="A140" t="s">
        <v>805</v>
      </c>
      <c r="B140" t="s">
        <v>685</v>
      </c>
      <c r="C140" t="s">
        <v>681</v>
      </c>
      <c r="D140" t="s">
        <v>680</v>
      </c>
      <c r="E140" t="s">
        <v>679</v>
      </c>
      <c r="F140">
        <v>999</v>
      </c>
      <c r="G140">
        <v>0</v>
      </c>
      <c r="H140">
        <v>999</v>
      </c>
      <c r="I140">
        <v>999</v>
      </c>
      <c r="J140">
        <v>0.114207497302575</v>
      </c>
      <c r="K140">
        <v>9.0661566116010298E-2</v>
      </c>
      <c r="L140">
        <v>8.3539863329929506E-2</v>
      </c>
      <c r="M140">
        <v>0.13043111560752099</v>
      </c>
      <c r="N140">
        <v>0.12978333852555299</v>
      </c>
      <c r="O140">
        <v>0.112211855386076</v>
      </c>
      <c r="P140">
        <v>0.109985182894085</v>
      </c>
      <c r="Q140">
        <v>0.108038143301354</v>
      </c>
      <c r="R140">
        <v>0.106387893394727</v>
      </c>
      <c r="S140">
        <v>0.104909407081006</v>
      </c>
      <c r="T140">
        <v>0.103468061725945</v>
      </c>
      <c r="U140">
        <v>0.101968092289107</v>
      </c>
      <c r="V140">
        <v>0.100653679894582</v>
      </c>
      <c r="W140">
        <v>9.9308119789995306E-2</v>
      </c>
      <c r="X140">
        <v>9.8070325856088006E-2</v>
      </c>
      <c r="Y140">
        <v>9.6792706583092802E-2</v>
      </c>
      <c r="Z140">
        <v>9.5488948894907597E-2</v>
      </c>
      <c r="AA140">
        <v>9.4160830754452002E-2</v>
      </c>
      <c r="AB140">
        <v>9.2820819502900206E-2</v>
      </c>
      <c r="AC140">
        <v>9.1498829421029507E-2</v>
      </c>
      <c r="AD140">
        <v>9.0207508246430104E-2</v>
      </c>
      <c r="AE140">
        <v>8.8923408767305701E-2</v>
      </c>
      <c r="AF140">
        <v>8.7603963689941902E-2</v>
      </c>
      <c r="AG140">
        <v>8.6334566034936902E-2</v>
      </c>
      <c r="AH140">
        <v>8.5099507138549899E-2</v>
      </c>
      <c r="AI140">
        <v>8.3821787475759593E-2</v>
      </c>
      <c r="AJ140">
        <v>8.25566606872742E-2</v>
      </c>
      <c r="AK140">
        <v>8.1324683316178301E-2</v>
      </c>
      <c r="AL140">
        <v>8.00782552263158E-2</v>
      </c>
      <c r="AM140">
        <v>7.8861669695410599E-2</v>
      </c>
      <c r="AN140">
        <v>7.7683475215122894E-2</v>
      </c>
      <c r="AO140">
        <v>7.6459299441264297E-2</v>
      </c>
      <c r="AP140">
        <v>7.5223725620038095E-2</v>
      </c>
      <c r="AQ140">
        <v>7.4069936368082206E-2</v>
      </c>
      <c r="AR140">
        <v>7.2821523522906897E-2</v>
      </c>
      <c r="AS140">
        <v>7.1572245339568602E-2</v>
      </c>
    </row>
    <row r="141" spans="1:45" hidden="1" x14ac:dyDescent="0.3">
      <c r="A141" t="s">
        <v>805</v>
      </c>
      <c r="B141" t="s">
        <v>684</v>
      </c>
      <c r="C141" t="s">
        <v>681</v>
      </c>
      <c r="D141" t="s">
        <v>680</v>
      </c>
      <c r="E141" t="s">
        <v>679</v>
      </c>
      <c r="F141">
        <v>999</v>
      </c>
      <c r="G141">
        <v>0</v>
      </c>
      <c r="H141">
        <v>0</v>
      </c>
      <c r="I141">
        <v>0</v>
      </c>
      <c r="J141">
        <v>2.9881707435282099E-2</v>
      </c>
      <c r="K141">
        <v>2.37873613943607E-2</v>
      </c>
      <c r="L141">
        <v>5.5503795347754799E-2</v>
      </c>
      <c r="M141">
        <v>9.3910394677402698E-2</v>
      </c>
      <c r="N141">
        <v>9.4054187524203997E-2</v>
      </c>
      <c r="O141">
        <v>7.7524902885798705E-2</v>
      </c>
      <c r="P141">
        <v>7.1122978419293603E-2</v>
      </c>
      <c r="Q141">
        <v>6.6257358208234696E-2</v>
      </c>
      <c r="R141">
        <v>6.2205470514774402E-2</v>
      </c>
      <c r="S141">
        <v>5.8906154206310297E-2</v>
      </c>
      <c r="T141">
        <v>5.6135651166266398E-2</v>
      </c>
      <c r="U141">
        <v>5.3551057699981301E-2</v>
      </c>
      <c r="V141">
        <v>5.1288939775529403E-2</v>
      </c>
      <c r="W141">
        <v>4.9208534524220103E-2</v>
      </c>
      <c r="X141">
        <v>4.7482414588664298E-2</v>
      </c>
      <c r="Y141">
        <v>4.5155967905525098E-2</v>
      </c>
      <c r="Z141">
        <v>4.3470096292180703E-2</v>
      </c>
      <c r="AA141">
        <v>4.18629853020537E-2</v>
      </c>
      <c r="AB141">
        <v>4.0560646964024602E-2</v>
      </c>
      <c r="AC141">
        <v>3.9661979054167698E-2</v>
      </c>
      <c r="AD141">
        <v>3.9118864377007997E-2</v>
      </c>
      <c r="AE141">
        <v>3.8724612233286999E-2</v>
      </c>
      <c r="AF141">
        <v>3.8291996788539603E-2</v>
      </c>
      <c r="AG141">
        <v>3.8129454018669101E-2</v>
      </c>
      <c r="AH141">
        <v>3.7945059473159598E-2</v>
      </c>
      <c r="AI141">
        <v>3.7749983219681899E-2</v>
      </c>
      <c r="AJ141">
        <v>3.7376149616436601E-2</v>
      </c>
      <c r="AK141">
        <v>3.6902572458594303E-2</v>
      </c>
      <c r="AL141">
        <v>3.6338583940722098E-2</v>
      </c>
      <c r="AM141">
        <v>3.57436964486645E-2</v>
      </c>
      <c r="AN141">
        <v>3.4666984662740201E-2</v>
      </c>
      <c r="AO141">
        <v>3.3176260640908499E-2</v>
      </c>
      <c r="AP141">
        <v>3.1625173736621999E-2</v>
      </c>
      <c r="AQ141">
        <v>3.0142234883901602E-2</v>
      </c>
      <c r="AR141">
        <v>2.8833852485676999E-2</v>
      </c>
      <c r="AS141">
        <v>2.7534231835486402E-2</v>
      </c>
    </row>
    <row r="142" spans="1:45" hidden="1" x14ac:dyDescent="0.3">
      <c r="A142" t="s">
        <v>805</v>
      </c>
      <c r="B142" t="s">
        <v>682</v>
      </c>
      <c r="C142" t="s">
        <v>681</v>
      </c>
      <c r="D142" t="s">
        <v>680</v>
      </c>
      <c r="E142" t="s">
        <v>679</v>
      </c>
      <c r="F142">
        <v>999</v>
      </c>
      <c r="G142">
        <v>0</v>
      </c>
      <c r="H142">
        <v>0</v>
      </c>
      <c r="I142">
        <v>0</v>
      </c>
      <c r="J142">
        <v>2.9878967466656501E-2</v>
      </c>
      <c r="K142">
        <v>2.3786504886246802E-2</v>
      </c>
      <c r="L142">
        <v>5.5218594860863501E-2</v>
      </c>
      <c r="M142">
        <v>9.3273141889633898E-2</v>
      </c>
      <c r="N142">
        <v>9.3214752600682793E-2</v>
      </c>
      <c r="O142">
        <v>7.63210374913115E-2</v>
      </c>
      <c r="P142">
        <v>6.9509180460144496E-2</v>
      </c>
      <c r="Q142">
        <v>6.4273180292555299E-2</v>
      </c>
      <c r="R142">
        <v>5.9859357993903101E-2</v>
      </c>
      <c r="S142">
        <v>5.6235797983816199E-2</v>
      </c>
      <c r="T142">
        <v>5.31871445988246E-2</v>
      </c>
      <c r="U142">
        <v>5.0341944040768603E-2</v>
      </c>
      <c r="V142">
        <v>4.7832570419368101E-2</v>
      </c>
      <c r="W142">
        <v>4.5525038473725903E-2</v>
      </c>
      <c r="X142">
        <v>4.3617019597964997E-2</v>
      </c>
      <c r="Y142">
        <v>4.1021633348138499E-2</v>
      </c>
      <c r="Z142">
        <v>3.9131591995510299E-2</v>
      </c>
      <c r="AA142">
        <v>3.7314995965348798E-2</v>
      </c>
      <c r="AB142">
        <v>3.5850111154737498E-2</v>
      </c>
      <c r="AC142">
        <v>3.48079296195965E-2</v>
      </c>
      <c r="AD142">
        <v>3.4116611427104399E-2</v>
      </c>
      <c r="AE142">
        <v>3.3586430008373802E-2</v>
      </c>
      <c r="AF142">
        <v>3.3009280660504202E-2</v>
      </c>
      <c r="AG142">
        <v>3.2661824177805901E-2</v>
      </c>
      <c r="AH142">
        <v>3.23039019019037E-2</v>
      </c>
      <c r="AI142">
        <v>3.1939708429829697E-2</v>
      </c>
      <c r="AJ142">
        <v>3.1407804430041597E-2</v>
      </c>
      <c r="AK142">
        <v>3.0778606211496199E-2</v>
      </c>
      <c r="AL142">
        <v>3.00650316925275E-2</v>
      </c>
      <c r="AM142">
        <v>2.9338193710282501E-2</v>
      </c>
      <c r="AN142">
        <v>2.82627620145178E-2</v>
      </c>
      <c r="AO142">
        <v>2.6869764171008701E-2</v>
      </c>
      <c r="AP142">
        <v>2.5448426927257201E-2</v>
      </c>
      <c r="AQ142">
        <v>2.4131777421426099E-2</v>
      </c>
      <c r="AR142">
        <v>2.30615480754022E-2</v>
      </c>
      <c r="AS142">
        <v>2.2036850050063801E-2</v>
      </c>
    </row>
    <row r="143" spans="1:45" hidden="1" x14ac:dyDescent="0.3">
      <c r="A143" t="s">
        <v>804</v>
      </c>
      <c r="B143" t="s">
        <v>686</v>
      </c>
      <c r="C143" t="s">
        <v>681</v>
      </c>
      <c r="D143" t="s">
        <v>680</v>
      </c>
      <c r="E143" t="s">
        <v>752</v>
      </c>
      <c r="F143">
        <v>-3.1462658746587402</v>
      </c>
      <c r="G143">
        <v>38.896096556201002</v>
      </c>
      <c r="H143">
        <v>43.015024186760698</v>
      </c>
      <c r="I143">
        <v>810.73724588444998</v>
      </c>
      <c r="J143">
        <v>3.9926123253899999E-2</v>
      </c>
      <c r="K143">
        <v>3.5450916686399998E-2</v>
      </c>
      <c r="L143">
        <v>3.0864490219999999E-2</v>
      </c>
      <c r="M143">
        <v>4.2364122931200003E-2</v>
      </c>
      <c r="N143">
        <v>4.1254045845499999E-2</v>
      </c>
      <c r="O143">
        <v>3.8108384627699998E-2</v>
      </c>
      <c r="P143">
        <v>3.7378483517699998E-2</v>
      </c>
      <c r="Q143">
        <v>3.66296025425E-2</v>
      </c>
      <c r="R143">
        <v>3.5873518520600001E-2</v>
      </c>
      <c r="S143">
        <v>3.5101485193500002E-2</v>
      </c>
      <c r="T143">
        <v>3.4355910732100002E-2</v>
      </c>
      <c r="U143">
        <v>3.3642795996499997E-2</v>
      </c>
      <c r="V143">
        <v>3.3001484161499998E-2</v>
      </c>
      <c r="W143">
        <v>3.2374765238699997E-2</v>
      </c>
      <c r="X143">
        <v>3.1752899728600001E-2</v>
      </c>
      <c r="Y143">
        <v>3.11367959264E-2</v>
      </c>
      <c r="Z143">
        <v>3.0542312140299999E-2</v>
      </c>
      <c r="AA143">
        <v>2.9943245477800001E-2</v>
      </c>
      <c r="AB143">
        <v>2.9330334907700002E-2</v>
      </c>
      <c r="AC143">
        <v>2.8737638974400001E-2</v>
      </c>
      <c r="AD143">
        <v>2.8157363921499999E-2</v>
      </c>
      <c r="AE143">
        <v>2.7576338183099999E-2</v>
      </c>
      <c r="AF143">
        <v>2.70166089207E-2</v>
      </c>
      <c r="AG143">
        <v>2.6484206008299999E-2</v>
      </c>
      <c r="AH143">
        <v>2.5962978376499999E-2</v>
      </c>
      <c r="AI143">
        <v>2.5444418689900002E-2</v>
      </c>
      <c r="AJ143">
        <v>2.4941118925099998E-2</v>
      </c>
      <c r="AK143">
        <v>2.4460050609999999E-2</v>
      </c>
      <c r="AL143">
        <v>2.3982397654499998E-2</v>
      </c>
      <c r="AM143">
        <v>2.3514802897E-2</v>
      </c>
      <c r="AN143">
        <v>2.3061399658400001E-2</v>
      </c>
      <c r="AO143">
        <v>2.26180329352E-2</v>
      </c>
      <c r="AP143">
        <v>2.2173401430699999E-2</v>
      </c>
      <c r="AQ143">
        <v>2.1740471361700001E-2</v>
      </c>
      <c r="AR143">
        <v>2.12988906785E-2</v>
      </c>
      <c r="AS143">
        <v>2.08763079437E-2</v>
      </c>
    </row>
    <row r="144" spans="1:45" hidden="1" x14ac:dyDescent="0.3">
      <c r="A144" t="s">
        <v>804</v>
      </c>
      <c r="B144" t="s">
        <v>685</v>
      </c>
      <c r="C144" t="s">
        <v>681</v>
      </c>
      <c r="D144" t="s">
        <v>680</v>
      </c>
      <c r="E144" t="s">
        <v>752</v>
      </c>
      <c r="F144">
        <v>-3.1462658746587402</v>
      </c>
      <c r="G144">
        <v>38.896096556201002</v>
      </c>
      <c r="H144">
        <v>43.015024186760698</v>
      </c>
      <c r="I144">
        <v>810.73724588444998</v>
      </c>
      <c r="J144">
        <v>3.9926123253899999E-2</v>
      </c>
      <c r="K144">
        <v>3.5450916686399998E-2</v>
      </c>
      <c r="L144">
        <v>3.0562143682071299E-2</v>
      </c>
      <c r="M144">
        <v>4.1552957176751899E-2</v>
      </c>
      <c r="N144">
        <v>4.0084019285938903E-2</v>
      </c>
      <c r="O144">
        <v>3.6723579499482698E-2</v>
      </c>
      <c r="P144">
        <v>3.5748104960130998E-2</v>
      </c>
      <c r="Q144">
        <v>3.4788170155854101E-2</v>
      </c>
      <c r="R144">
        <v>3.3852530069455503E-2</v>
      </c>
      <c r="S144">
        <v>3.2929651301178503E-2</v>
      </c>
      <c r="T144">
        <v>3.20558236944656E-2</v>
      </c>
      <c r="U144">
        <v>3.1234601631691599E-2</v>
      </c>
      <c r="V144">
        <v>3.0499626000287099E-2</v>
      </c>
      <c r="W144">
        <v>2.9794937182982598E-2</v>
      </c>
      <c r="X144">
        <v>2.9109375350346502E-2</v>
      </c>
      <c r="Y144">
        <v>2.8442187494808799E-2</v>
      </c>
      <c r="Z144">
        <v>2.7806726154679599E-2</v>
      </c>
      <c r="AA144">
        <v>2.71782047128649E-2</v>
      </c>
      <c r="AB144">
        <v>2.6546806097684301E-2</v>
      </c>
      <c r="AC144">
        <v>2.5942393752684301E-2</v>
      </c>
      <c r="AD144">
        <v>2.5357069637131101E-2</v>
      </c>
      <c r="AE144">
        <v>2.4778224450078299E-2</v>
      </c>
      <c r="AF144">
        <v>2.4224885910730399E-2</v>
      </c>
      <c r="AG144">
        <v>2.37903331982002E-2</v>
      </c>
      <c r="AH144">
        <v>2.3362016855157E-2</v>
      </c>
      <c r="AI144">
        <v>2.2932457792783901E-2</v>
      </c>
      <c r="AJ144">
        <v>2.25115529329507E-2</v>
      </c>
      <c r="AK144">
        <v>2.21077681094793E-2</v>
      </c>
      <c r="AL144">
        <v>2.1704334932831401E-2</v>
      </c>
      <c r="AM144">
        <v>2.13074512177878E-2</v>
      </c>
      <c r="AN144">
        <v>2.0921055732761502E-2</v>
      </c>
      <c r="AO144">
        <v>2.0541564433567701E-2</v>
      </c>
      <c r="AP144">
        <v>2.0158867243504301E-2</v>
      </c>
      <c r="AQ144">
        <v>1.97848868975035E-2</v>
      </c>
      <c r="AR144">
        <v>1.9401233679207899E-2</v>
      </c>
      <c r="AS144">
        <v>1.9033204744198801E-2</v>
      </c>
    </row>
    <row r="145" spans="1:45" hidden="1" x14ac:dyDescent="0.3">
      <c r="A145" t="s">
        <v>804</v>
      </c>
      <c r="B145" t="s">
        <v>684</v>
      </c>
      <c r="C145" t="s">
        <v>681</v>
      </c>
      <c r="D145" t="s">
        <v>680</v>
      </c>
      <c r="E145" t="s">
        <v>752</v>
      </c>
      <c r="F145">
        <v>-3.1462658746587402</v>
      </c>
      <c r="G145">
        <v>38.896096556201002</v>
      </c>
      <c r="H145">
        <v>169124.317298857</v>
      </c>
      <c r="I145">
        <v>3187616.09024629</v>
      </c>
      <c r="J145">
        <v>0</v>
      </c>
      <c r="K145">
        <v>-1.51339918375015E-18</v>
      </c>
      <c r="L145">
        <v>2.83131930254627E-6</v>
      </c>
      <c r="M145">
        <v>5.2793037725622403E-6</v>
      </c>
      <c r="N145">
        <v>5.78023710331256E-6</v>
      </c>
      <c r="O145">
        <v>4.7965666944876797E-6</v>
      </c>
      <c r="P145">
        <v>4.4655385279136999E-6</v>
      </c>
      <c r="Q145">
        <v>4.2444512717388598E-6</v>
      </c>
      <c r="R145">
        <v>4.0639691017341497E-6</v>
      </c>
      <c r="S145">
        <v>3.8990738984419103E-6</v>
      </c>
      <c r="T145">
        <v>3.7497994641488599E-6</v>
      </c>
      <c r="U145">
        <v>3.6141748198641001E-6</v>
      </c>
      <c r="V145">
        <v>3.4915233341481199E-6</v>
      </c>
      <c r="W145">
        <v>3.3769562324626698E-6</v>
      </c>
      <c r="X145">
        <v>3.2722111784105199E-6</v>
      </c>
      <c r="Y145">
        <v>2.8490781267638399E-6</v>
      </c>
      <c r="Z145">
        <v>2.51120965448758E-6</v>
      </c>
      <c r="AA145">
        <v>2.2343313182455102E-6</v>
      </c>
      <c r="AB145">
        <v>1.99288905775099E-6</v>
      </c>
      <c r="AC145">
        <v>1.77143102220334E-6</v>
      </c>
      <c r="AD145">
        <v>1.69737756413073E-6</v>
      </c>
      <c r="AE145">
        <v>1.67415586239805E-6</v>
      </c>
      <c r="AF145">
        <v>1.6751118041088E-6</v>
      </c>
      <c r="AG145">
        <v>1.69772433820935E-6</v>
      </c>
      <c r="AH145">
        <v>1.71755714789119E-6</v>
      </c>
      <c r="AI145">
        <v>1.6393976688251699E-6</v>
      </c>
      <c r="AJ145">
        <v>1.56825259423907E-6</v>
      </c>
      <c r="AK145">
        <v>1.45377024941801E-6</v>
      </c>
      <c r="AL145">
        <v>1.34856363893992E-6</v>
      </c>
      <c r="AM145">
        <v>1.2512210491289201E-6</v>
      </c>
      <c r="AN145">
        <v>1.1622588384499501E-6</v>
      </c>
      <c r="AO145">
        <v>1.0802156708679201E-6</v>
      </c>
      <c r="AP145">
        <v>1.0041228407647701E-6</v>
      </c>
      <c r="AQ145">
        <v>9.3152391292111701E-7</v>
      </c>
      <c r="AR145">
        <v>8.6119518236877401E-7</v>
      </c>
      <c r="AS145">
        <v>7.9813398810421404E-7</v>
      </c>
    </row>
    <row r="146" spans="1:45" hidden="1" x14ac:dyDescent="0.3">
      <c r="A146" t="s">
        <v>804</v>
      </c>
      <c r="B146" t="s">
        <v>682</v>
      </c>
      <c r="C146" t="s">
        <v>681</v>
      </c>
      <c r="D146" t="s">
        <v>680</v>
      </c>
      <c r="E146" t="s">
        <v>752</v>
      </c>
      <c r="F146">
        <v>-3.1462658746587402</v>
      </c>
      <c r="G146">
        <v>38.896096556201002</v>
      </c>
      <c r="H146">
        <v>169124.317298857</v>
      </c>
      <c r="I146">
        <v>3187616.09024629</v>
      </c>
      <c r="J146">
        <v>0</v>
      </c>
      <c r="K146">
        <v>-1.51339918375015E-18</v>
      </c>
      <c r="L146">
        <v>2.6397105523989301E-6</v>
      </c>
      <c r="M146">
        <v>4.6909299715574E-6</v>
      </c>
      <c r="N146">
        <v>4.9167088580791497E-6</v>
      </c>
      <c r="O146">
        <v>3.9183957400886198E-6</v>
      </c>
      <c r="P146">
        <v>3.5095746436227101E-6</v>
      </c>
      <c r="Q146">
        <v>3.2206906473612498E-6</v>
      </c>
      <c r="R146">
        <v>2.98597006194021E-6</v>
      </c>
      <c r="S146">
        <v>2.7811155130589499E-6</v>
      </c>
      <c r="T146">
        <v>2.6037910376267501E-6</v>
      </c>
      <c r="U146">
        <v>2.44838960815812E-6</v>
      </c>
      <c r="V146">
        <v>2.3118844287950701E-6</v>
      </c>
      <c r="W146">
        <v>2.19009480952332E-6</v>
      </c>
      <c r="X146">
        <v>2.0846654329742599E-6</v>
      </c>
      <c r="Y146">
        <v>1.7789250661594799E-6</v>
      </c>
      <c r="Z146">
        <v>1.5412844137572299E-6</v>
      </c>
      <c r="AA146">
        <v>1.35212662320277E-6</v>
      </c>
      <c r="AB146">
        <v>1.1921619562720399E-6</v>
      </c>
      <c r="AC146">
        <v>1.0475558772329699E-6</v>
      </c>
      <c r="AD146">
        <v>9.9317541641223002E-7</v>
      </c>
      <c r="AE146">
        <v>9.7627269751224808E-7</v>
      </c>
      <c r="AF146">
        <v>9.7918036001603793E-7</v>
      </c>
      <c r="AG146">
        <v>1.0054829525602301E-6</v>
      </c>
      <c r="AH146">
        <v>1.0302537798665601E-6</v>
      </c>
      <c r="AI146">
        <v>1.00050634632712E-6</v>
      </c>
      <c r="AJ146">
        <v>9.7454529260124804E-7</v>
      </c>
      <c r="AK146">
        <v>9.1925250205746801E-7</v>
      </c>
      <c r="AL146">
        <v>8.6823791186103905E-7</v>
      </c>
      <c r="AM146">
        <v>8.2068318751855297E-7</v>
      </c>
      <c r="AN146">
        <v>7.7666645079008403E-7</v>
      </c>
      <c r="AO146">
        <v>7.3569078056504098E-7</v>
      </c>
      <c r="AP146">
        <v>6.9719557381815696E-7</v>
      </c>
      <c r="AQ146">
        <v>6.5909357509085101E-7</v>
      </c>
      <c r="AR146">
        <v>6.21230573847255E-7</v>
      </c>
      <c r="AS146">
        <v>5.8732742066374001E-7</v>
      </c>
    </row>
    <row r="147" spans="1:45" hidden="1" x14ac:dyDescent="0.3">
      <c r="A147" t="s">
        <v>803</v>
      </c>
      <c r="B147" t="s">
        <v>686</v>
      </c>
      <c r="C147" t="s">
        <v>681</v>
      </c>
      <c r="D147" t="s">
        <v>680</v>
      </c>
      <c r="E147" t="s">
        <v>8</v>
      </c>
      <c r="F147">
        <v>-19.905444331754399</v>
      </c>
      <c r="G147">
        <v>84.965195775060096</v>
      </c>
      <c r="H147">
        <v>131.092241571085</v>
      </c>
      <c r="I147">
        <v>2470.7963065814602</v>
      </c>
      <c r="J147">
        <v>4.2634766501000003E-3</v>
      </c>
      <c r="K147">
        <v>4.3876371917000003E-3</v>
      </c>
      <c r="L147">
        <v>4.4683740431999998E-3</v>
      </c>
      <c r="M147">
        <v>4.6076080066000001E-3</v>
      </c>
      <c r="N147">
        <v>4.7646105177999998E-3</v>
      </c>
      <c r="O147">
        <v>4.9084169480000002E-3</v>
      </c>
      <c r="P147">
        <v>5.0395794472999998E-3</v>
      </c>
      <c r="Q147">
        <v>5.1711882333000002E-3</v>
      </c>
      <c r="R147">
        <v>5.3038650195000002E-3</v>
      </c>
      <c r="S147">
        <v>5.4387245689999997E-3</v>
      </c>
      <c r="T147">
        <v>5.5809959724999999E-3</v>
      </c>
      <c r="U147">
        <v>5.7362477310999999E-3</v>
      </c>
      <c r="V147">
        <v>5.9054600275000001E-3</v>
      </c>
      <c r="W147">
        <v>6.0738561296999997E-3</v>
      </c>
      <c r="X147">
        <v>6.2385439269000004E-3</v>
      </c>
      <c r="Y147">
        <v>6.4056403494999999E-3</v>
      </c>
      <c r="Z147">
        <v>6.5748208899000004E-3</v>
      </c>
      <c r="AA147">
        <v>6.7387124670000003E-3</v>
      </c>
      <c r="AB147">
        <v>6.8985340263999998E-3</v>
      </c>
      <c r="AC147">
        <v>7.0561757068999999E-3</v>
      </c>
      <c r="AD147">
        <v>7.2096291885999997E-3</v>
      </c>
      <c r="AE147">
        <v>7.3551356490999999E-3</v>
      </c>
      <c r="AF147">
        <v>7.5048692625E-3</v>
      </c>
      <c r="AG147">
        <v>7.6602695621000002E-3</v>
      </c>
      <c r="AH147">
        <v>7.8186326217999993E-3</v>
      </c>
      <c r="AI147">
        <v>7.9787239451999999E-3</v>
      </c>
      <c r="AJ147">
        <v>8.1418291180000001E-3</v>
      </c>
      <c r="AK147">
        <v>8.3045214429000001E-3</v>
      </c>
      <c r="AL147">
        <v>8.4664771722000008E-3</v>
      </c>
      <c r="AM147">
        <v>8.6280533681000002E-3</v>
      </c>
      <c r="AN147">
        <v>8.7888579583000007E-3</v>
      </c>
      <c r="AO147">
        <v>8.9490909067999995E-3</v>
      </c>
      <c r="AP147">
        <v>9.1076408908999998E-3</v>
      </c>
      <c r="AQ147">
        <v>9.2626006920999999E-3</v>
      </c>
      <c r="AR147">
        <v>9.4133511156000004E-3</v>
      </c>
      <c r="AS147">
        <v>9.5636422668999993E-3</v>
      </c>
    </row>
    <row r="148" spans="1:45" hidden="1" x14ac:dyDescent="0.3">
      <c r="A148" t="s">
        <v>803</v>
      </c>
      <c r="B148" t="s">
        <v>685</v>
      </c>
      <c r="C148" t="s">
        <v>681</v>
      </c>
      <c r="D148" t="s">
        <v>680</v>
      </c>
      <c r="E148" t="s">
        <v>8</v>
      </c>
      <c r="F148">
        <v>-19.905444331754399</v>
      </c>
      <c r="G148">
        <v>84.965195775060096</v>
      </c>
      <c r="H148">
        <v>131.092241571085</v>
      </c>
      <c r="I148">
        <v>2470.7963065814602</v>
      </c>
      <c r="J148">
        <v>4.2634766501000003E-3</v>
      </c>
      <c r="K148">
        <v>4.3876371917000003E-3</v>
      </c>
      <c r="L148">
        <v>4.4467097711299499E-3</v>
      </c>
      <c r="M148">
        <v>4.5649416746652198E-3</v>
      </c>
      <c r="N148">
        <v>4.6999227039971597E-3</v>
      </c>
      <c r="O148">
        <v>4.82120752081864E-3</v>
      </c>
      <c r="P148">
        <v>4.9296314518120898E-3</v>
      </c>
      <c r="Q148">
        <v>5.03811566649345E-3</v>
      </c>
      <c r="R148">
        <v>5.1473089057147798E-3</v>
      </c>
      <c r="S148">
        <v>5.2582908259993198E-3</v>
      </c>
      <c r="T148">
        <v>5.3760745773672302E-3</v>
      </c>
      <c r="U148">
        <v>5.5059779011414301E-3</v>
      </c>
      <c r="V148">
        <v>5.6488236193904702E-3</v>
      </c>
      <c r="W148">
        <v>5.7904029123336401E-3</v>
      </c>
      <c r="X148">
        <v>5.9374850113535398E-3</v>
      </c>
      <c r="Y148">
        <v>6.0961911452446097E-3</v>
      </c>
      <c r="Z148">
        <v>6.2568824971660697E-3</v>
      </c>
      <c r="AA148">
        <v>6.4125433516280502E-3</v>
      </c>
      <c r="AB148">
        <v>6.5643331276380003E-3</v>
      </c>
      <c r="AC148">
        <v>6.7140503921643098E-3</v>
      </c>
      <c r="AD148">
        <v>6.8597844795884001E-3</v>
      </c>
      <c r="AE148">
        <v>6.9979591668245401E-3</v>
      </c>
      <c r="AF148">
        <v>7.1401553069660104E-3</v>
      </c>
      <c r="AG148">
        <v>7.2877424758914103E-3</v>
      </c>
      <c r="AH148">
        <v>7.4381482358999102E-3</v>
      </c>
      <c r="AI148">
        <v>7.5901981492086101E-3</v>
      </c>
      <c r="AJ148">
        <v>7.7452357225673398E-3</v>
      </c>
      <c r="AK148">
        <v>7.9000032064263596E-3</v>
      </c>
      <c r="AL148">
        <v>8.0540699747002897E-3</v>
      </c>
      <c r="AM148">
        <v>8.2077756968744996E-3</v>
      </c>
      <c r="AN148">
        <v>8.3607473987266506E-3</v>
      </c>
      <c r="AO148">
        <v>8.51317530388997E-3</v>
      </c>
      <c r="AP148">
        <v>8.6640022228618892E-3</v>
      </c>
      <c r="AQ148">
        <v>8.8114138389031506E-3</v>
      </c>
      <c r="AR148">
        <v>8.9548211185650397E-3</v>
      </c>
      <c r="AS148">
        <v>9.0977914974521498E-3</v>
      </c>
    </row>
    <row r="149" spans="1:45" hidden="1" x14ac:dyDescent="0.3">
      <c r="A149" t="s">
        <v>803</v>
      </c>
      <c r="B149" t="s">
        <v>684</v>
      </c>
      <c r="C149" t="s">
        <v>681</v>
      </c>
      <c r="D149" t="s">
        <v>680</v>
      </c>
      <c r="E149" t="s">
        <v>8</v>
      </c>
      <c r="F149">
        <v>-19.905444331754399</v>
      </c>
      <c r="G149">
        <v>84.965195775060096</v>
      </c>
      <c r="H149">
        <v>288.23280248411498</v>
      </c>
      <c r="I149">
        <v>5432.5453228839697</v>
      </c>
      <c r="J149">
        <v>8.5269533002000004E-4</v>
      </c>
      <c r="K149">
        <v>8.7752743833999995E-4</v>
      </c>
      <c r="L149">
        <v>2.1035516878395301E-3</v>
      </c>
      <c r="M149">
        <v>2.1655687625306702E-3</v>
      </c>
      <c r="N149">
        <v>2.2353353107261698E-3</v>
      </c>
      <c r="O149">
        <v>2.2980221983459402E-3</v>
      </c>
      <c r="P149">
        <v>2.3539297743458399E-3</v>
      </c>
      <c r="Q149">
        <v>2.4097377144619001E-3</v>
      </c>
      <c r="R149">
        <v>2.4657076982868599E-3</v>
      </c>
      <c r="S149">
        <v>2.5229277336286998E-3</v>
      </c>
      <c r="T149">
        <v>2.5841715233162299E-3</v>
      </c>
      <c r="U149">
        <v>2.6521702658008801E-3</v>
      </c>
      <c r="V149">
        <v>2.7267864518726701E-3</v>
      </c>
      <c r="W149">
        <v>2.8012369111068002E-3</v>
      </c>
      <c r="X149">
        <v>2.8702044083257399E-3</v>
      </c>
      <c r="Y149">
        <v>2.9462972188035101E-3</v>
      </c>
      <c r="Z149">
        <v>3.0194744153107102E-3</v>
      </c>
      <c r="AA149">
        <v>3.09080079640809E-3</v>
      </c>
      <c r="AB149">
        <v>3.1603684231747498E-3</v>
      </c>
      <c r="AC149">
        <v>3.2290490586757399E-3</v>
      </c>
      <c r="AD149">
        <v>3.29570615172842E-3</v>
      </c>
      <c r="AE149">
        <v>3.3588237172227E-3</v>
      </c>
      <c r="AF149">
        <v>3.4241051473399E-3</v>
      </c>
      <c r="AG149">
        <v>3.4918933587477202E-3</v>
      </c>
      <c r="AH149">
        <v>3.5605802174457401E-3</v>
      </c>
      <c r="AI149">
        <v>3.6288290221969202E-3</v>
      </c>
      <c r="AJ149">
        <v>3.6991354032544798E-3</v>
      </c>
      <c r="AK149">
        <v>3.7684125663280102E-3</v>
      </c>
      <c r="AL149">
        <v>3.83667794095919E-3</v>
      </c>
      <c r="AM149">
        <v>3.90413204571558E-3</v>
      </c>
      <c r="AN149">
        <v>3.9759499283983403E-3</v>
      </c>
      <c r="AO149">
        <v>4.0422029388494096E-3</v>
      </c>
      <c r="AP149">
        <v>4.1077834273724103E-3</v>
      </c>
      <c r="AQ149">
        <v>4.1715875899432601E-3</v>
      </c>
      <c r="AR149">
        <v>4.2325309676864301E-3</v>
      </c>
      <c r="AS149">
        <v>4.29220839653097E-3</v>
      </c>
    </row>
    <row r="150" spans="1:45" hidden="1" x14ac:dyDescent="0.3">
      <c r="A150" t="s">
        <v>803</v>
      </c>
      <c r="B150" t="s">
        <v>682</v>
      </c>
      <c r="C150" t="s">
        <v>681</v>
      </c>
      <c r="D150" t="s">
        <v>680</v>
      </c>
      <c r="E150" t="s">
        <v>8</v>
      </c>
      <c r="F150">
        <v>-19.905444331754399</v>
      </c>
      <c r="G150">
        <v>84.965195775060096</v>
      </c>
      <c r="H150">
        <v>288.23280248411498</v>
      </c>
      <c r="I150">
        <v>5432.5453228839697</v>
      </c>
      <c r="J150">
        <v>8.5269533002000004E-4</v>
      </c>
      <c r="K150">
        <v>8.7752743833999995E-4</v>
      </c>
      <c r="L150">
        <v>2.0933529185247399E-3</v>
      </c>
      <c r="M150">
        <v>2.14552689635612E-3</v>
      </c>
      <c r="N150">
        <v>2.2050106298377101E-3</v>
      </c>
      <c r="O150">
        <v>2.2572277120555999E-3</v>
      </c>
      <c r="P150">
        <v>2.3026176043464699E-3</v>
      </c>
      <c r="Q150">
        <v>2.34777347307131E-3</v>
      </c>
      <c r="R150">
        <v>2.3929721066982702E-3</v>
      </c>
      <c r="S150">
        <v>2.4392680719057102E-3</v>
      </c>
      <c r="T150">
        <v>2.4893189518116602E-3</v>
      </c>
      <c r="U150">
        <v>2.5457261863220701E-3</v>
      </c>
      <c r="V150">
        <v>2.6082975585438599E-3</v>
      </c>
      <c r="W150">
        <v>2.6705079799981498E-3</v>
      </c>
      <c r="X150">
        <v>2.7316870784115802E-3</v>
      </c>
      <c r="Y150">
        <v>2.80395762884059E-3</v>
      </c>
      <c r="Z150">
        <v>2.8734552769057401E-3</v>
      </c>
      <c r="AA150">
        <v>2.9411933891299699E-3</v>
      </c>
      <c r="AB150">
        <v>3.0072590648678199E-3</v>
      </c>
      <c r="AC150">
        <v>3.07248177104642E-3</v>
      </c>
      <c r="AD150">
        <v>3.13578013469392E-3</v>
      </c>
      <c r="AE150">
        <v>3.1957118331015599E-3</v>
      </c>
      <c r="AF150">
        <v>3.2577022919701498E-3</v>
      </c>
      <c r="AG150">
        <v>3.3220777215134099E-3</v>
      </c>
      <c r="AH150">
        <v>3.38730820279924E-3</v>
      </c>
      <c r="AI150">
        <v>3.45212214821957E-3</v>
      </c>
      <c r="AJ150">
        <v>3.51894829192117E-3</v>
      </c>
      <c r="AK150">
        <v>3.5848509226959801E-3</v>
      </c>
      <c r="AL150">
        <v>3.6497910498523001E-3</v>
      </c>
      <c r="AM150">
        <v>3.7139594245775699E-3</v>
      </c>
      <c r="AN150">
        <v>3.7822790149806499E-3</v>
      </c>
      <c r="AO150">
        <v>3.8453048014269399E-3</v>
      </c>
      <c r="AP150">
        <v>3.9076908248929501E-3</v>
      </c>
      <c r="AQ150">
        <v>3.9683870483127803E-3</v>
      </c>
      <c r="AR150">
        <v>4.02636183745529E-3</v>
      </c>
      <c r="AS150">
        <v>4.0831323428317601E-3</v>
      </c>
    </row>
    <row r="151" spans="1:45" hidden="1" x14ac:dyDescent="0.3">
      <c r="A151" t="s">
        <v>802</v>
      </c>
      <c r="B151" t="s">
        <v>686</v>
      </c>
      <c r="C151" t="s">
        <v>681</v>
      </c>
      <c r="D151" t="s">
        <v>680</v>
      </c>
      <c r="E151" t="s">
        <v>752</v>
      </c>
      <c r="F151">
        <v>6.5171137235561201</v>
      </c>
      <c r="G151">
        <v>11.518452372291</v>
      </c>
      <c r="H151">
        <v>13.426983634456599</v>
      </c>
      <c r="I151">
        <v>253.068687932654</v>
      </c>
      <c r="J151">
        <v>0.34725935812050002</v>
      </c>
      <c r="K151">
        <v>0.29685106614270002</v>
      </c>
      <c r="L151">
        <v>0.29068201849690001</v>
      </c>
      <c r="M151">
        <v>0.38799438464030001</v>
      </c>
      <c r="N151">
        <v>0.37078677160439999</v>
      </c>
      <c r="O151">
        <v>0.3510915761742</v>
      </c>
      <c r="P151">
        <v>0.35100640529030003</v>
      </c>
      <c r="Q151">
        <v>0.35060239708219998</v>
      </c>
      <c r="R151">
        <v>0.35013284896169999</v>
      </c>
      <c r="S151">
        <v>0.34946637994739999</v>
      </c>
      <c r="T151">
        <v>0.34909565965310002</v>
      </c>
      <c r="U151">
        <v>0.34884880933220003</v>
      </c>
      <c r="V151">
        <v>0.3491256698595</v>
      </c>
      <c r="W151">
        <v>0.34945358395499998</v>
      </c>
      <c r="X151">
        <v>0.34995284691049999</v>
      </c>
      <c r="Y151">
        <v>0.35061990820599997</v>
      </c>
      <c r="Z151">
        <v>0.35149399362930001</v>
      </c>
      <c r="AA151">
        <v>0.35222499780619998</v>
      </c>
      <c r="AB151">
        <v>0.35283199908070001</v>
      </c>
      <c r="AC151">
        <v>0.3537661837903</v>
      </c>
      <c r="AD151">
        <v>0.35484201877459998</v>
      </c>
      <c r="AE151">
        <v>0.35580932382129998</v>
      </c>
      <c r="AF151">
        <v>0.35690030596619998</v>
      </c>
      <c r="AG151">
        <v>0.3581422854686</v>
      </c>
      <c r="AH151">
        <v>0.35933983801530001</v>
      </c>
      <c r="AI151">
        <v>0.3604526455123</v>
      </c>
      <c r="AJ151">
        <v>0.36157032506730002</v>
      </c>
      <c r="AK151">
        <v>0.36274903139039999</v>
      </c>
      <c r="AL151">
        <v>0.36382366945990002</v>
      </c>
      <c r="AM151">
        <v>0.36489749135900001</v>
      </c>
      <c r="AN151">
        <v>0.36601731046820002</v>
      </c>
      <c r="AO151">
        <v>0.36711680582630002</v>
      </c>
      <c r="AP151">
        <v>0.36805243497559997</v>
      </c>
      <c r="AQ151">
        <v>0.36900140793960001</v>
      </c>
      <c r="AR151">
        <v>0.36966305963950002</v>
      </c>
      <c r="AS151">
        <v>0.37043279068910001</v>
      </c>
    </row>
    <row r="152" spans="1:45" hidden="1" x14ac:dyDescent="0.3">
      <c r="A152" t="s">
        <v>802</v>
      </c>
      <c r="B152" t="s">
        <v>685</v>
      </c>
      <c r="C152" t="s">
        <v>681</v>
      </c>
      <c r="D152" t="s">
        <v>680</v>
      </c>
      <c r="E152" t="s">
        <v>752</v>
      </c>
      <c r="F152">
        <v>6.5171137235561201</v>
      </c>
      <c r="G152">
        <v>11.518452372291</v>
      </c>
      <c r="H152">
        <v>13.426983634456599</v>
      </c>
      <c r="I152">
        <v>253.068687932654</v>
      </c>
      <c r="J152">
        <v>0.34725935812050002</v>
      </c>
      <c r="K152">
        <v>0.29685106614270002</v>
      </c>
      <c r="L152">
        <v>0.286791728816084</v>
      </c>
      <c r="M152">
        <v>0.377892720948099</v>
      </c>
      <c r="N152">
        <v>0.35651670897619298</v>
      </c>
      <c r="O152">
        <v>0.33332188249019001</v>
      </c>
      <c r="P152">
        <v>0.32912416913731002</v>
      </c>
      <c r="Q152">
        <v>0.32476330668634801</v>
      </c>
      <c r="R152">
        <v>0.32048466424873001</v>
      </c>
      <c r="S152">
        <v>0.316164217691425</v>
      </c>
      <c r="T152">
        <v>0.31223451065167301</v>
      </c>
      <c r="U152">
        <v>0.30854195159814002</v>
      </c>
      <c r="V152">
        <v>0.30542841733044201</v>
      </c>
      <c r="W152">
        <v>0.30245865295468999</v>
      </c>
      <c r="X152">
        <v>0.29972478596730201</v>
      </c>
      <c r="Y152">
        <v>0.29721576182001902</v>
      </c>
      <c r="Z152">
        <v>0.29496276288107698</v>
      </c>
      <c r="AA152">
        <v>0.29267286267818698</v>
      </c>
      <c r="AB152">
        <v>0.290356966905013</v>
      </c>
      <c r="AC152">
        <v>0.288383970376835</v>
      </c>
      <c r="AD152">
        <v>0.28739543135260698</v>
      </c>
      <c r="AE152">
        <v>0.28816722919765497</v>
      </c>
      <c r="AF152">
        <v>0.28903835956530799</v>
      </c>
      <c r="AG152">
        <v>0.28999798248168601</v>
      </c>
      <c r="AH152">
        <v>0.29092295318349698</v>
      </c>
      <c r="AI152">
        <v>0.29178042998610998</v>
      </c>
      <c r="AJ152">
        <v>0.292642965130053</v>
      </c>
      <c r="AK152">
        <v>0.29355599431623602</v>
      </c>
      <c r="AL152">
        <v>0.29438577146960299</v>
      </c>
      <c r="AM152">
        <v>0.295215791054598</v>
      </c>
      <c r="AN152">
        <v>0.29608391008770901</v>
      </c>
      <c r="AO152">
        <v>0.29693649707179798</v>
      </c>
      <c r="AP152">
        <v>0.29765747908302298</v>
      </c>
      <c r="AQ152">
        <v>0.29839020790094301</v>
      </c>
      <c r="AR152">
        <v>0.29889152679070302</v>
      </c>
      <c r="AS152">
        <v>0.29948112288138401</v>
      </c>
    </row>
    <row r="153" spans="1:45" hidden="1" x14ac:dyDescent="0.3">
      <c r="A153" t="s">
        <v>802</v>
      </c>
      <c r="B153" t="s">
        <v>684</v>
      </c>
      <c r="C153" t="s">
        <v>681</v>
      </c>
      <c r="D153" t="s">
        <v>680</v>
      </c>
      <c r="E153" t="s">
        <v>752</v>
      </c>
      <c r="F153">
        <v>6.5171137235561201</v>
      </c>
      <c r="G153">
        <v>11.518452372291</v>
      </c>
      <c r="H153">
        <v>91.176352262039202</v>
      </c>
      <c r="I153">
        <v>1718.47083943908</v>
      </c>
      <c r="J153">
        <v>0</v>
      </c>
      <c r="K153">
        <v>3.8184225559234597E-17</v>
      </c>
      <c r="L153">
        <v>3.4486636449251899E-3</v>
      </c>
      <c r="M153">
        <v>7.2908469100003703E-3</v>
      </c>
      <c r="N153">
        <v>9.06694468549798E-3</v>
      </c>
      <c r="O153">
        <v>9.7259763047019502E-3</v>
      </c>
      <c r="P153">
        <v>1.11257096095108E-2</v>
      </c>
      <c r="Q153">
        <v>1.2607523770749401E-2</v>
      </c>
      <c r="R153">
        <v>1.4091824892044301E-2</v>
      </c>
      <c r="S153">
        <v>1.55387523259405E-2</v>
      </c>
      <c r="T153">
        <v>1.6924601958055702E-2</v>
      </c>
      <c r="U153">
        <v>1.8292570579218501E-2</v>
      </c>
      <c r="V153">
        <v>1.9648385697415401E-2</v>
      </c>
      <c r="W153">
        <v>2.0982033580321101E-2</v>
      </c>
      <c r="X153">
        <v>2.2322347783304001E-2</v>
      </c>
      <c r="Y153">
        <v>2.1966282152806799E-2</v>
      </c>
      <c r="Z153">
        <v>2.1866243557748698E-2</v>
      </c>
      <c r="AA153">
        <v>2.19579867973211E-2</v>
      </c>
      <c r="AB153">
        <v>2.2121640235552398E-2</v>
      </c>
      <c r="AC153">
        <v>2.2244208592451499E-2</v>
      </c>
      <c r="AD153">
        <v>2.2397099478977799E-2</v>
      </c>
      <c r="AE153">
        <v>2.2310448755647899E-2</v>
      </c>
      <c r="AF153">
        <v>2.2486024433183201E-2</v>
      </c>
      <c r="AG153">
        <v>2.2931959218729401E-2</v>
      </c>
      <c r="AH153">
        <v>2.3315315116805901E-2</v>
      </c>
      <c r="AI153">
        <v>2.3757812565918399E-2</v>
      </c>
      <c r="AJ153">
        <v>2.42829453781718E-2</v>
      </c>
      <c r="AK153">
        <v>2.4860713846809001E-2</v>
      </c>
      <c r="AL153">
        <v>2.54814623294164E-2</v>
      </c>
      <c r="AM153">
        <v>2.61390304949712E-2</v>
      </c>
      <c r="AN153">
        <v>2.6790916679805099E-2</v>
      </c>
      <c r="AO153">
        <v>2.74953370070605E-2</v>
      </c>
      <c r="AP153">
        <v>2.8234936762629601E-2</v>
      </c>
      <c r="AQ153">
        <v>2.8924419063902002E-2</v>
      </c>
      <c r="AR153">
        <v>2.9480715412601301E-2</v>
      </c>
      <c r="AS153">
        <v>3.0099586837906301E-2</v>
      </c>
    </row>
    <row r="154" spans="1:45" hidden="1" x14ac:dyDescent="0.3">
      <c r="A154" t="s">
        <v>802</v>
      </c>
      <c r="B154" t="s">
        <v>682</v>
      </c>
      <c r="C154" t="s">
        <v>681</v>
      </c>
      <c r="D154" t="s">
        <v>680</v>
      </c>
      <c r="E154" t="s">
        <v>752</v>
      </c>
      <c r="F154">
        <v>6.5171137235561201</v>
      </c>
      <c r="G154">
        <v>11.518452372291</v>
      </c>
      <c r="H154">
        <v>91.176352262039202</v>
      </c>
      <c r="I154">
        <v>1718.47083943908</v>
      </c>
      <c r="J154">
        <v>0</v>
      </c>
      <c r="K154">
        <v>3.8184225559234597E-17</v>
      </c>
      <c r="L154">
        <v>3.2221461597285398E-3</v>
      </c>
      <c r="M154">
        <v>6.5061190091044701E-3</v>
      </c>
      <c r="N154">
        <v>7.7600597645066704E-3</v>
      </c>
      <c r="O154">
        <v>8.0042247823816706E-3</v>
      </c>
      <c r="P154">
        <v>8.8197547742184905E-3</v>
      </c>
      <c r="Q154">
        <v>9.6556659183062703E-3</v>
      </c>
      <c r="R154">
        <v>1.0452886860194599E-2</v>
      </c>
      <c r="S154">
        <v>1.11877821758367E-2</v>
      </c>
      <c r="T154">
        <v>1.18521750056577E-2</v>
      </c>
      <c r="U154">
        <v>1.24804884576462E-2</v>
      </c>
      <c r="V154">
        <v>1.3078799279027199E-2</v>
      </c>
      <c r="W154">
        <v>1.36451190153964E-2</v>
      </c>
      <c r="X154">
        <v>1.42099306627724E-2</v>
      </c>
      <c r="Y154">
        <v>1.3643414664105799E-2</v>
      </c>
      <c r="Z154">
        <v>1.32802657689463E-2</v>
      </c>
      <c r="AA154">
        <v>1.30698758283552E-2</v>
      </c>
      <c r="AB154">
        <v>1.2928798118999199E-2</v>
      </c>
      <c r="AC154">
        <v>1.27618748008937E-2</v>
      </c>
      <c r="AD154">
        <v>1.2666434106201101E-2</v>
      </c>
      <c r="AE154">
        <v>1.25721963006152E-2</v>
      </c>
      <c r="AF154">
        <v>1.2670716164247101E-2</v>
      </c>
      <c r="AG154">
        <v>1.2998633840625299E-2</v>
      </c>
      <c r="AH154">
        <v>1.3287484046363899E-2</v>
      </c>
      <c r="AI154">
        <v>1.36448754815081E-2</v>
      </c>
      <c r="AJ154">
        <v>1.4074451000563299E-2</v>
      </c>
      <c r="AK154">
        <v>1.45544885730035E-2</v>
      </c>
      <c r="AL154">
        <v>1.50837026856571E-2</v>
      </c>
      <c r="AM154">
        <v>1.5660898042208202E-2</v>
      </c>
      <c r="AN154">
        <v>1.62557026428654E-2</v>
      </c>
      <c r="AO154">
        <v>1.6908700359532399E-2</v>
      </c>
      <c r="AP154">
        <v>1.7610922934218901E-2</v>
      </c>
      <c r="AQ154">
        <v>1.8297175583051901E-2</v>
      </c>
      <c r="AR154">
        <v>1.8925570301961899E-2</v>
      </c>
      <c r="AS154">
        <v>1.9627890542958201E-2</v>
      </c>
    </row>
    <row r="155" spans="1:45" hidden="1" x14ac:dyDescent="0.3">
      <c r="A155" t="s">
        <v>801</v>
      </c>
      <c r="B155" t="s">
        <v>686</v>
      </c>
      <c r="C155" t="s">
        <v>681</v>
      </c>
      <c r="D155" t="s">
        <v>680</v>
      </c>
      <c r="E155" t="s">
        <v>22</v>
      </c>
      <c r="F155">
        <v>9.1916424746767404</v>
      </c>
      <c r="G155">
        <v>8.83296464917691</v>
      </c>
      <c r="H155">
        <v>11.016764604017199</v>
      </c>
      <c r="I155">
        <v>207.641436044274</v>
      </c>
      <c r="J155">
        <v>0.10354866159580001</v>
      </c>
      <c r="K155">
        <v>0.10217345257759999</v>
      </c>
      <c r="L155">
        <v>0.1011204625589</v>
      </c>
      <c r="M155">
        <v>0.1015010220695</v>
      </c>
      <c r="N155">
        <v>0.1022510725916</v>
      </c>
      <c r="O155">
        <v>0.1025873236771</v>
      </c>
      <c r="P155">
        <v>0.10273981578370001</v>
      </c>
      <c r="Q155">
        <v>0.1029937022892</v>
      </c>
      <c r="R155">
        <v>0.1033669932176</v>
      </c>
      <c r="S155">
        <v>0.1038548194039</v>
      </c>
      <c r="T155">
        <v>0.10454500995300001</v>
      </c>
      <c r="U155">
        <v>0.10547836629140001</v>
      </c>
      <c r="V155">
        <v>0.10660791222929999</v>
      </c>
      <c r="W155">
        <v>0.1078941131892</v>
      </c>
      <c r="X155">
        <v>0.10932748404830001</v>
      </c>
      <c r="Y155">
        <v>0.1109430894342</v>
      </c>
      <c r="Z155">
        <v>0.1125617221666</v>
      </c>
      <c r="AA155">
        <v>0.1140601611863</v>
      </c>
      <c r="AB155">
        <v>0.1155172027893</v>
      </c>
      <c r="AC155">
        <v>0.1169980118542</v>
      </c>
      <c r="AD155">
        <v>0.1184955634615</v>
      </c>
      <c r="AE155">
        <v>0.11993513609170001</v>
      </c>
      <c r="AF155">
        <v>0.12133363942769999</v>
      </c>
      <c r="AG155">
        <v>0.1227284285435</v>
      </c>
      <c r="AH155">
        <v>0.1240993904884</v>
      </c>
      <c r="AI155">
        <v>0.12545859824</v>
      </c>
      <c r="AJ155">
        <v>0.1268471480319</v>
      </c>
      <c r="AK155">
        <v>0.128231888578</v>
      </c>
      <c r="AL155">
        <v>0.12963975492919999</v>
      </c>
      <c r="AM155">
        <v>0.1311038511364</v>
      </c>
      <c r="AN155">
        <v>0.1326287605881</v>
      </c>
      <c r="AO155">
        <v>0.13421450617639999</v>
      </c>
      <c r="AP155">
        <v>0.135835301214</v>
      </c>
      <c r="AQ155">
        <v>0.1374422419962</v>
      </c>
      <c r="AR155">
        <v>0.13901645336759999</v>
      </c>
      <c r="AS155">
        <v>0.14060735622439999</v>
      </c>
    </row>
    <row r="156" spans="1:45" hidden="1" x14ac:dyDescent="0.3">
      <c r="A156" t="s">
        <v>801</v>
      </c>
      <c r="B156" t="s">
        <v>685</v>
      </c>
      <c r="C156" t="s">
        <v>681</v>
      </c>
      <c r="D156" t="s">
        <v>680</v>
      </c>
      <c r="E156" t="s">
        <v>22</v>
      </c>
      <c r="F156">
        <v>9.1916424746767404</v>
      </c>
      <c r="G156">
        <v>8.83296464917691</v>
      </c>
      <c r="H156">
        <v>11.016764604017199</v>
      </c>
      <c r="I156">
        <v>207.641436044274</v>
      </c>
      <c r="J156">
        <v>0.10354866159580001</v>
      </c>
      <c r="K156">
        <v>0.10217345257759999</v>
      </c>
      <c r="L156">
        <v>9.7598939285303304E-2</v>
      </c>
      <c r="M156">
        <v>9.4746704084750194E-2</v>
      </c>
      <c r="N156">
        <v>9.2276180869355406E-2</v>
      </c>
      <c r="O156">
        <v>8.9491417563759001E-2</v>
      </c>
      <c r="P156">
        <v>8.6636519198499101E-2</v>
      </c>
      <c r="Q156">
        <v>8.3954346754961898E-2</v>
      </c>
      <c r="R156">
        <v>8.1451402197143002E-2</v>
      </c>
      <c r="S156">
        <v>7.9110023862680304E-2</v>
      </c>
      <c r="T156">
        <v>7.6980479357859594E-2</v>
      </c>
      <c r="U156">
        <v>7.5078768326390197E-2</v>
      </c>
      <c r="V156">
        <v>7.3352672414831593E-2</v>
      </c>
      <c r="W156">
        <v>7.1756149275094105E-2</v>
      </c>
      <c r="X156">
        <v>7.1429471211123904E-2</v>
      </c>
      <c r="Y156">
        <v>7.2438261714150506E-2</v>
      </c>
      <c r="Z156">
        <v>7.3449023348937603E-2</v>
      </c>
      <c r="AA156">
        <v>7.4381621100524195E-2</v>
      </c>
      <c r="AB156">
        <v>7.5287307400991099E-2</v>
      </c>
      <c r="AC156">
        <v>7.6208533410648704E-2</v>
      </c>
      <c r="AD156">
        <v>7.7140758151060806E-2</v>
      </c>
      <c r="AE156">
        <v>7.8035414166111802E-2</v>
      </c>
      <c r="AF156">
        <v>7.8903512188063699E-2</v>
      </c>
      <c r="AG156">
        <v>7.9769358657510697E-2</v>
      </c>
      <c r="AH156">
        <v>8.0619883527571698E-2</v>
      </c>
      <c r="AI156">
        <v>8.1482604641269205E-2</v>
      </c>
      <c r="AJ156">
        <v>8.2384437240272598E-2</v>
      </c>
      <c r="AK156">
        <v>8.3283795817775202E-2</v>
      </c>
      <c r="AL156">
        <v>8.4198174097876194E-2</v>
      </c>
      <c r="AM156">
        <v>8.5149072434711204E-2</v>
      </c>
      <c r="AN156">
        <v>8.6139467638465306E-2</v>
      </c>
      <c r="AO156">
        <v>8.7169374577054801E-2</v>
      </c>
      <c r="AP156">
        <v>8.8222045363321996E-2</v>
      </c>
      <c r="AQ156">
        <v>8.9265718114929296E-2</v>
      </c>
      <c r="AR156">
        <v>9.0288133832919407E-2</v>
      </c>
      <c r="AS156">
        <v>9.13213903041524E-2</v>
      </c>
    </row>
    <row r="157" spans="1:45" hidden="1" x14ac:dyDescent="0.3">
      <c r="A157" t="s">
        <v>801</v>
      </c>
      <c r="B157" t="s">
        <v>684</v>
      </c>
      <c r="C157" t="s">
        <v>681</v>
      </c>
      <c r="D157" t="s">
        <v>680</v>
      </c>
      <c r="E157" t="s">
        <v>22</v>
      </c>
      <c r="F157">
        <v>9.1916424746767404</v>
      </c>
      <c r="G157">
        <v>8.83296464917691</v>
      </c>
      <c r="H157">
        <v>211851.717293027</v>
      </c>
      <c r="I157">
        <v>3992932.2616884802</v>
      </c>
      <c r="J157">
        <v>0</v>
      </c>
      <c r="K157">
        <v>6.9849193096160898E-18</v>
      </c>
      <c r="L157">
        <v>2.2549003979065501E-5</v>
      </c>
      <c r="M157">
        <v>3.3491292404560798E-5</v>
      </c>
      <c r="N157">
        <v>4.1542824891856898E-5</v>
      </c>
      <c r="O157">
        <v>3.8058166508655097E-5</v>
      </c>
      <c r="P157">
        <v>3.4855160105274102E-5</v>
      </c>
      <c r="Q157">
        <v>3.1997600889116499E-5</v>
      </c>
      <c r="R157">
        <v>2.9457371458256599E-5</v>
      </c>
      <c r="S157">
        <v>2.7194128499835698E-5</v>
      </c>
      <c r="T157">
        <v>2.5189575895151099E-5</v>
      </c>
      <c r="U157">
        <v>2.3430796238422399E-5</v>
      </c>
      <c r="V157">
        <v>2.2588247352741701E-5</v>
      </c>
      <c r="W157">
        <v>2.0524835880838299E-5</v>
      </c>
      <c r="X157">
        <v>1.8672652250986501E-5</v>
      </c>
      <c r="Y157">
        <v>1.6997973199661802E-5</v>
      </c>
      <c r="Z157">
        <v>1.5467763949953E-5</v>
      </c>
      <c r="AA157">
        <v>1.40670654503405E-5</v>
      </c>
      <c r="AB157">
        <v>1.27835062857009E-5</v>
      </c>
      <c r="AC157">
        <v>1.16164753536955E-5</v>
      </c>
      <c r="AD157">
        <v>1.0556140909493001E-5</v>
      </c>
      <c r="AE157">
        <v>9.5899956587217794E-6</v>
      </c>
      <c r="AF157">
        <v>8.7099723097458505E-6</v>
      </c>
      <c r="AG157">
        <v>7.9108495255820494E-6</v>
      </c>
      <c r="AH157">
        <v>7.1847392241060697E-6</v>
      </c>
      <c r="AI157">
        <v>6.52412858402729E-6</v>
      </c>
      <c r="AJ157">
        <v>5.9251932609230297E-6</v>
      </c>
      <c r="AK157">
        <v>5.3812901192754499E-6</v>
      </c>
      <c r="AL157">
        <v>4.8874409197643404E-6</v>
      </c>
      <c r="AM157">
        <v>4.4395838570296801E-6</v>
      </c>
      <c r="AN157">
        <v>4.0333761430308199E-6</v>
      </c>
      <c r="AO157">
        <v>3.6651564357802301E-6</v>
      </c>
      <c r="AP157">
        <v>3.33091839509457E-6</v>
      </c>
      <c r="AQ157">
        <v>3.0268521671071598E-6</v>
      </c>
      <c r="AR157">
        <v>2.7511016186848299E-6</v>
      </c>
      <c r="AS157">
        <v>2.5013775192424701E-6</v>
      </c>
    </row>
    <row r="158" spans="1:45" hidden="1" x14ac:dyDescent="0.3">
      <c r="A158" t="s">
        <v>801</v>
      </c>
      <c r="B158" t="s">
        <v>682</v>
      </c>
      <c r="C158" t="s">
        <v>681</v>
      </c>
      <c r="D158" t="s">
        <v>680</v>
      </c>
      <c r="E158" t="s">
        <v>22</v>
      </c>
      <c r="F158">
        <v>9.1916424746767404</v>
      </c>
      <c r="G158">
        <v>8.83296464917691</v>
      </c>
      <c r="H158">
        <v>211851.717293027</v>
      </c>
      <c r="I158">
        <v>3992932.2616884802</v>
      </c>
      <c r="J158">
        <v>0</v>
      </c>
      <c r="K158">
        <v>6.9849193096160898E-18</v>
      </c>
      <c r="L158">
        <v>2.1354042143471099E-5</v>
      </c>
      <c r="M158">
        <v>3.0536390909613599E-5</v>
      </c>
      <c r="N158">
        <v>3.6607357160607401E-5</v>
      </c>
      <c r="O158">
        <v>3.2449573271064998E-5</v>
      </c>
      <c r="P158">
        <v>2.8774738797888199E-5</v>
      </c>
      <c r="Q158">
        <v>2.5586300874617899E-5</v>
      </c>
      <c r="R158">
        <v>2.2822887665646201E-5</v>
      </c>
      <c r="S158">
        <v>2.0421363075930601E-5</v>
      </c>
      <c r="T158">
        <v>1.8341421097368E-5</v>
      </c>
      <c r="U158">
        <v>1.6551194689840101E-5</v>
      </c>
      <c r="V158">
        <v>1.54935527273566E-5</v>
      </c>
      <c r="W158">
        <v>1.36679280487541E-5</v>
      </c>
      <c r="X158">
        <v>1.2232103646187099E-5</v>
      </c>
      <c r="Y158">
        <v>1.1119458797592701E-5</v>
      </c>
      <c r="Z158">
        <v>1.01061887558326E-5</v>
      </c>
      <c r="AA158">
        <v>9.18141531708464E-6</v>
      </c>
      <c r="AB158">
        <v>8.3359785145651608E-6</v>
      </c>
      <c r="AC158">
        <v>7.56878053298965E-6</v>
      </c>
      <c r="AD158">
        <v>6.8729073988571802E-6</v>
      </c>
      <c r="AE158">
        <v>6.23981474947557E-6</v>
      </c>
      <c r="AF158">
        <v>5.6639119775146198E-6</v>
      </c>
      <c r="AG158">
        <v>5.1415448401272301E-6</v>
      </c>
      <c r="AH158">
        <v>4.6673824101574701E-6</v>
      </c>
      <c r="AI158">
        <v>4.2372782535441203E-6</v>
      </c>
      <c r="AJ158">
        <v>3.84828291305527E-6</v>
      </c>
      <c r="AK158">
        <v>3.4950297659933599E-6</v>
      </c>
      <c r="AL158">
        <v>3.1742855552285901E-6</v>
      </c>
      <c r="AM158">
        <v>2.88341222736612E-6</v>
      </c>
      <c r="AN158">
        <v>2.6195892369300102E-6</v>
      </c>
      <c r="AO158">
        <v>2.38043862273544E-6</v>
      </c>
      <c r="AP158">
        <v>2.1633583547621999E-6</v>
      </c>
      <c r="AQ158">
        <v>1.9658740166164899E-6</v>
      </c>
      <c r="AR158">
        <v>1.78678009054437E-6</v>
      </c>
      <c r="AS158">
        <v>1.6245897716134801E-6</v>
      </c>
    </row>
    <row r="159" spans="1:45" hidden="1" x14ac:dyDescent="0.3">
      <c r="A159" t="s">
        <v>800</v>
      </c>
      <c r="B159" t="s">
        <v>686</v>
      </c>
      <c r="C159" t="s">
        <v>681</v>
      </c>
      <c r="D159" t="s">
        <v>680</v>
      </c>
      <c r="E159" t="s">
        <v>22</v>
      </c>
      <c r="F159">
        <v>-10.819949978264001</v>
      </c>
      <c r="G159">
        <v>31.711640535558999</v>
      </c>
      <c r="H159">
        <v>48.912241121480598</v>
      </c>
      <c r="I159">
        <v>921.88662930172995</v>
      </c>
      <c r="J159">
        <v>0.10354866159580001</v>
      </c>
      <c r="K159">
        <v>0.10217345257759999</v>
      </c>
      <c r="L159">
        <v>0.1011204625589</v>
      </c>
      <c r="M159">
        <v>0.1015010220695</v>
      </c>
      <c r="N159">
        <v>0.1022510725916</v>
      </c>
      <c r="O159">
        <v>0.1025873236771</v>
      </c>
      <c r="P159">
        <v>0.10273981578370001</v>
      </c>
      <c r="Q159">
        <v>0.1029937022892</v>
      </c>
      <c r="R159">
        <v>0.1033669932176</v>
      </c>
      <c r="S159">
        <v>0.1038548194039</v>
      </c>
      <c r="T159">
        <v>0.10454500995300001</v>
      </c>
      <c r="U159">
        <v>0.10547836629140001</v>
      </c>
      <c r="V159">
        <v>0.10660791222929999</v>
      </c>
      <c r="W159">
        <v>0.1078941131892</v>
      </c>
      <c r="X159">
        <v>0.10932748404830001</v>
      </c>
      <c r="Y159">
        <v>0.1109430894342</v>
      </c>
      <c r="Z159">
        <v>0.1125617221666</v>
      </c>
      <c r="AA159">
        <v>0.1140601611863</v>
      </c>
      <c r="AB159">
        <v>0.1155172027893</v>
      </c>
      <c r="AC159">
        <v>0.1169980118542</v>
      </c>
      <c r="AD159">
        <v>0.1184955634615</v>
      </c>
      <c r="AE159">
        <v>0.11993513609170001</v>
      </c>
      <c r="AF159">
        <v>0.12133363942769999</v>
      </c>
      <c r="AG159">
        <v>0.1227284285435</v>
      </c>
      <c r="AH159">
        <v>0.1240993904884</v>
      </c>
      <c r="AI159">
        <v>0.12545859824</v>
      </c>
      <c r="AJ159">
        <v>0.1268471480319</v>
      </c>
      <c r="AK159">
        <v>0.128231888578</v>
      </c>
      <c r="AL159">
        <v>0.12963975492919999</v>
      </c>
      <c r="AM159">
        <v>0.1311038511364</v>
      </c>
      <c r="AN159">
        <v>0.1326287605881</v>
      </c>
      <c r="AO159">
        <v>0.13421450617639999</v>
      </c>
      <c r="AP159">
        <v>0.135835301214</v>
      </c>
      <c r="AQ159">
        <v>0.1374422419962</v>
      </c>
      <c r="AR159">
        <v>0.13901645336759999</v>
      </c>
      <c r="AS159">
        <v>0.14060735622439999</v>
      </c>
    </row>
    <row r="160" spans="1:45" hidden="1" x14ac:dyDescent="0.3">
      <c r="A160" t="s">
        <v>800</v>
      </c>
      <c r="B160" t="s">
        <v>685</v>
      </c>
      <c r="C160" t="s">
        <v>681</v>
      </c>
      <c r="D160" t="s">
        <v>680</v>
      </c>
      <c r="E160" t="s">
        <v>22</v>
      </c>
      <c r="F160">
        <v>-10.819949978264001</v>
      </c>
      <c r="G160">
        <v>31.711640535558999</v>
      </c>
      <c r="H160">
        <v>48.912241121480598</v>
      </c>
      <c r="I160">
        <v>921.88662930172995</v>
      </c>
      <c r="J160">
        <v>0.10354866159580001</v>
      </c>
      <c r="K160">
        <v>0.10217345257759999</v>
      </c>
      <c r="L160">
        <v>9.8887826064874298E-2</v>
      </c>
      <c r="M160">
        <v>9.7218802230695803E-2</v>
      </c>
      <c r="N160">
        <v>9.5927017473176099E-2</v>
      </c>
      <c r="O160">
        <v>9.4284553642836694E-2</v>
      </c>
      <c r="P160">
        <v>9.2530368099567897E-2</v>
      </c>
      <c r="Q160">
        <v>9.0922800953070301E-2</v>
      </c>
      <c r="R160">
        <v>8.9472566147566698E-2</v>
      </c>
      <c r="S160">
        <v>8.8166684108373194E-2</v>
      </c>
      <c r="T160">
        <v>8.7069170049053193E-2</v>
      </c>
      <c r="U160">
        <v>8.6205101131045E-2</v>
      </c>
      <c r="V160">
        <v>8.5524177646587193E-2</v>
      </c>
      <c r="W160">
        <v>8.4982739108740907E-2</v>
      </c>
      <c r="X160">
        <v>8.5300243579457299E-2</v>
      </c>
      <c r="Y160">
        <v>8.6531129925509098E-2</v>
      </c>
      <c r="Z160">
        <v>8.7764373980693894E-2</v>
      </c>
      <c r="AA160">
        <v>8.8904071124545E-2</v>
      </c>
      <c r="AB160">
        <v>9.0011554915776601E-2</v>
      </c>
      <c r="AC160">
        <v>9.1137589795329099E-2</v>
      </c>
      <c r="AD160">
        <v>9.2276725655804206E-2</v>
      </c>
      <c r="AE160">
        <v>9.3370822585103902E-2</v>
      </c>
      <c r="AF160">
        <v>9.4433050346937594E-2</v>
      </c>
      <c r="AG160">
        <v>9.5492491216043099E-2</v>
      </c>
      <c r="AH160">
        <v>9.6533497424219405E-2</v>
      </c>
      <c r="AI160">
        <v>9.7577933953124807E-2</v>
      </c>
      <c r="AJ160">
        <v>9.8657906324770894E-2</v>
      </c>
      <c r="AK160">
        <v>9.9734915979311098E-2</v>
      </c>
      <c r="AL160">
        <v>0.100829912191284</v>
      </c>
      <c r="AM160">
        <v>0.101968642298358</v>
      </c>
      <c r="AN160">
        <v>0.103154671122607</v>
      </c>
      <c r="AO160">
        <v>0.104388016468819</v>
      </c>
      <c r="AP160">
        <v>0.105648622225213</v>
      </c>
      <c r="AQ160">
        <v>0.106898452557384</v>
      </c>
      <c r="AR160">
        <v>0.10812282693571799</v>
      </c>
      <c r="AS160">
        <v>0.109360183450652</v>
      </c>
    </row>
    <row r="161" spans="1:45" hidden="1" x14ac:dyDescent="0.3">
      <c r="A161" t="s">
        <v>800</v>
      </c>
      <c r="B161" t="s">
        <v>684</v>
      </c>
      <c r="C161" t="s">
        <v>681</v>
      </c>
      <c r="D161" t="s">
        <v>680</v>
      </c>
      <c r="E161" t="s">
        <v>22</v>
      </c>
      <c r="F161">
        <v>-10.819949978264001</v>
      </c>
      <c r="G161">
        <v>31.711640535558999</v>
      </c>
      <c r="H161">
        <v>999</v>
      </c>
      <c r="I161">
        <v>999</v>
      </c>
      <c r="J161">
        <v>0</v>
      </c>
      <c r="K161">
        <v>6.9849193096160898E-18</v>
      </c>
      <c r="L161">
        <v>1.48557960055769E-10</v>
      </c>
      <c r="M161">
        <v>2.2467939881607899E-10</v>
      </c>
      <c r="N161">
        <v>2.8128880262374902E-10</v>
      </c>
      <c r="O161">
        <v>2.57693216204643E-10</v>
      </c>
      <c r="P161">
        <v>2.3600477445870602E-10</v>
      </c>
      <c r="Q161">
        <v>2.16655476018786E-10</v>
      </c>
      <c r="R161">
        <v>1.99454853311181E-10</v>
      </c>
      <c r="S161">
        <v>1.8412978202104599E-10</v>
      </c>
      <c r="T161">
        <v>1.7055637575686001E-10</v>
      </c>
      <c r="U161">
        <v>1.58647157251835E-10</v>
      </c>
      <c r="V161">
        <v>1.5294200181961101E-10</v>
      </c>
      <c r="W161">
        <v>1.3897090405225801E-10</v>
      </c>
      <c r="X161">
        <v>1.26429967582226E-10</v>
      </c>
      <c r="Y161">
        <v>1.15090873092413E-10</v>
      </c>
      <c r="Z161">
        <v>1.04729954153299E-10</v>
      </c>
      <c r="AA161">
        <v>9.52459275722504E-11</v>
      </c>
      <c r="AB161">
        <v>8.6555030196905094E-11</v>
      </c>
      <c r="AC161">
        <v>7.8653123229742094E-11</v>
      </c>
      <c r="AD161">
        <v>7.1473672986030594E-11</v>
      </c>
      <c r="AE161">
        <v>6.4931929111480706E-11</v>
      </c>
      <c r="AF161">
        <v>5.8973342180252098E-11</v>
      </c>
      <c r="AG161">
        <v>5.35625107586384E-11</v>
      </c>
      <c r="AH161">
        <v>4.86460402607918E-11</v>
      </c>
      <c r="AI161">
        <v>4.4173099100589802E-11</v>
      </c>
      <c r="AJ161">
        <v>4.01177033782005E-11</v>
      </c>
      <c r="AK161">
        <v>3.6434963345527597E-11</v>
      </c>
      <c r="AL161">
        <v>3.3091135323047603E-11</v>
      </c>
      <c r="AM161">
        <v>3.0058756470680202E-11</v>
      </c>
      <c r="AN161">
        <v>2.73083373904228E-11</v>
      </c>
      <c r="AO161">
        <v>2.4815127253532398E-11</v>
      </c>
      <c r="AP161">
        <v>2.25519761443138E-11</v>
      </c>
      <c r="AQ161">
        <v>2.0493164658546399E-11</v>
      </c>
      <c r="AR161">
        <v>1.8626071512699101E-11</v>
      </c>
      <c r="AS161">
        <v>1.6935192048549701E-11</v>
      </c>
    </row>
    <row r="162" spans="1:45" hidden="1" x14ac:dyDescent="0.3">
      <c r="A162" t="s">
        <v>800</v>
      </c>
      <c r="B162" t="s">
        <v>682</v>
      </c>
      <c r="C162" t="s">
        <v>681</v>
      </c>
      <c r="D162" t="s">
        <v>680</v>
      </c>
      <c r="E162" t="s">
        <v>22</v>
      </c>
      <c r="F162">
        <v>-10.819949978264001</v>
      </c>
      <c r="G162">
        <v>31.711640535558999</v>
      </c>
      <c r="H162">
        <v>999</v>
      </c>
      <c r="I162">
        <v>999</v>
      </c>
      <c r="J162">
        <v>0</v>
      </c>
      <c r="K162">
        <v>6.9849193096160898E-18</v>
      </c>
      <c r="L162">
        <v>1.43566717393696E-10</v>
      </c>
      <c r="M162">
        <v>2.1211160300299499E-10</v>
      </c>
      <c r="N162">
        <v>2.6010272651910799E-10</v>
      </c>
      <c r="O162">
        <v>2.3361748363822701E-10</v>
      </c>
      <c r="P162">
        <v>2.0990353357046799E-10</v>
      </c>
      <c r="Q162">
        <v>1.8913380708545399E-10</v>
      </c>
      <c r="R162">
        <v>1.70975087210536E-10</v>
      </c>
      <c r="S162">
        <v>1.5505641326308301E-10</v>
      </c>
      <c r="T162">
        <v>1.4115934818983099E-10</v>
      </c>
      <c r="U162">
        <v>1.2911514192819601E-10</v>
      </c>
      <c r="V162">
        <v>1.2248660810291801E-10</v>
      </c>
      <c r="W162">
        <v>1.09536150470376E-10</v>
      </c>
      <c r="X162">
        <v>9.8782489076256801E-11</v>
      </c>
      <c r="Y162">
        <v>8.9856075122952504E-11</v>
      </c>
      <c r="Z162">
        <v>8.1714265048503901E-11</v>
      </c>
      <c r="AA162">
        <v>7.4273280799388894E-11</v>
      </c>
      <c r="AB162">
        <v>6.7463148385286306E-11</v>
      </c>
      <c r="AC162">
        <v>6.1277620494365698E-11</v>
      </c>
      <c r="AD162">
        <v>5.5662736296653697E-11</v>
      </c>
      <c r="AE162">
        <v>5.0550736486911797E-11</v>
      </c>
      <c r="AF162">
        <v>4.58976477384567E-11</v>
      </c>
      <c r="AG162">
        <v>4.1674852371215801E-11</v>
      </c>
      <c r="AH162">
        <v>3.7839941680431399E-11</v>
      </c>
      <c r="AI162">
        <v>3.4356500953435898E-11</v>
      </c>
      <c r="AJ162">
        <v>3.1202364712953601E-11</v>
      </c>
      <c r="AK162">
        <v>2.8337996453046801E-11</v>
      </c>
      <c r="AL162">
        <v>2.5737334042787599E-11</v>
      </c>
      <c r="AM162">
        <v>2.3378793150186501E-11</v>
      </c>
      <c r="AN162">
        <v>2.12396010756493E-11</v>
      </c>
      <c r="AO162">
        <v>1.93004906177521E-11</v>
      </c>
      <c r="AP162">
        <v>1.7540268599986999E-11</v>
      </c>
      <c r="AQ162">
        <v>1.59389674663544E-11</v>
      </c>
      <c r="AR162">
        <v>1.44868046045303E-11</v>
      </c>
      <c r="AS162">
        <v>1.3171695172786701E-11</v>
      </c>
    </row>
    <row r="163" spans="1:45" hidden="1" x14ac:dyDescent="0.3">
      <c r="A163" t="s">
        <v>799</v>
      </c>
      <c r="B163" t="s">
        <v>686</v>
      </c>
      <c r="C163" t="s">
        <v>681</v>
      </c>
      <c r="D163" t="s">
        <v>680</v>
      </c>
      <c r="E163" t="s">
        <v>20</v>
      </c>
      <c r="F163">
        <v>5.4311645602729097</v>
      </c>
      <c r="G163">
        <v>9.6313178740919092</v>
      </c>
      <c r="H163">
        <v>12.337039119783199</v>
      </c>
      <c r="I163">
        <v>303.477884885724</v>
      </c>
      <c r="J163">
        <v>0.16736308403399999</v>
      </c>
      <c r="K163">
        <v>0.1070706584223</v>
      </c>
      <c r="L163">
        <v>9.1647991647872698E-2</v>
      </c>
      <c r="M163">
        <v>8.4251945083835197E-2</v>
      </c>
      <c r="N163">
        <v>7.6498745917844002E-2</v>
      </c>
      <c r="O163">
        <v>6.5754951994492897E-2</v>
      </c>
      <c r="P163">
        <v>6.0611971446839802E-2</v>
      </c>
      <c r="Q163">
        <v>5.75209680172011E-2</v>
      </c>
      <c r="R163">
        <v>5.5538135202848601E-2</v>
      </c>
      <c r="S163">
        <v>5.4627213856871998E-2</v>
      </c>
      <c r="T163">
        <v>5.4024366036263302E-2</v>
      </c>
      <c r="U163">
        <v>5.3492781381375303E-2</v>
      </c>
      <c r="V163">
        <v>5.3277133614401298E-2</v>
      </c>
      <c r="W163">
        <v>5.32607717407707E-2</v>
      </c>
      <c r="X163">
        <v>5.3450424874967498E-2</v>
      </c>
      <c r="Y163">
        <v>5.3668015223659798E-2</v>
      </c>
      <c r="Z163">
        <v>5.3843054644051903E-2</v>
      </c>
      <c r="AA163">
        <v>5.3827495425434399E-2</v>
      </c>
      <c r="AB163">
        <v>5.4002796094309503E-2</v>
      </c>
      <c r="AC163">
        <v>5.4180990672116701E-2</v>
      </c>
      <c r="AD163">
        <v>5.4589877560362599E-2</v>
      </c>
      <c r="AE163">
        <v>5.5059270543691703E-2</v>
      </c>
      <c r="AF163">
        <v>5.54442398572794E-2</v>
      </c>
      <c r="AG163">
        <v>5.5851807954587697E-2</v>
      </c>
      <c r="AH163">
        <v>5.6319679782168598E-2</v>
      </c>
      <c r="AI163">
        <v>5.60142903681069E-2</v>
      </c>
      <c r="AJ163">
        <v>5.5727729131503499E-2</v>
      </c>
      <c r="AK163">
        <v>5.5532268402628003E-2</v>
      </c>
      <c r="AL163">
        <v>5.54325887785364E-2</v>
      </c>
      <c r="AM163">
        <v>5.5407642479213898E-2</v>
      </c>
      <c r="AN163">
        <v>5.5412805220795197E-2</v>
      </c>
      <c r="AO163">
        <v>5.5457852311117897E-2</v>
      </c>
      <c r="AP163">
        <v>5.55687954387898E-2</v>
      </c>
      <c r="AQ163">
        <v>5.5663672517681402E-2</v>
      </c>
      <c r="AR163">
        <v>5.5831580590349303E-2</v>
      </c>
      <c r="AS163">
        <v>5.6020753266133601E-2</v>
      </c>
    </row>
    <row r="164" spans="1:45" hidden="1" x14ac:dyDescent="0.3">
      <c r="A164" t="s">
        <v>799</v>
      </c>
      <c r="B164" t="s">
        <v>685</v>
      </c>
      <c r="C164" t="s">
        <v>681</v>
      </c>
      <c r="D164" t="s">
        <v>680</v>
      </c>
      <c r="E164" t="s">
        <v>20</v>
      </c>
      <c r="F164">
        <v>5.4311645602729097</v>
      </c>
      <c r="G164">
        <v>9.6313178740919092</v>
      </c>
      <c r="H164">
        <v>12.337039119783199</v>
      </c>
      <c r="I164">
        <v>303.477884885724</v>
      </c>
      <c r="J164">
        <v>0.16736308403399999</v>
      </c>
      <c r="K164">
        <v>0.1070706584223</v>
      </c>
      <c r="L164">
        <v>9.1647991647872698E-2</v>
      </c>
      <c r="M164">
        <v>3.4642148316979801E-2</v>
      </c>
      <c r="N164">
        <v>3.5651150213717203E-2</v>
      </c>
      <c r="O164">
        <v>4.0199301883734002E-2</v>
      </c>
      <c r="P164">
        <v>4.3023997928708299E-2</v>
      </c>
      <c r="Q164">
        <v>4.5543201201921103E-2</v>
      </c>
      <c r="R164">
        <v>4.7060599800419399E-2</v>
      </c>
      <c r="S164">
        <v>4.6978431567145401E-2</v>
      </c>
      <c r="T164">
        <v>4.5810298353987901E-2</v>
      </c>
      <c r="U164">
        <v>4.4774150624417301E-2</v>
      </c>
      <c r="V164">
        <v>4.4471486892686499E-2</v>
      </c>
      <c r="W164">
        <v>4.47771047442692E-2</v>
      </c>
      <c r="X164">
        <v>4.5252828039081698E-2</v>
      </c>
      <c r="Y164">
        <v>4.6018967334251301E-2</v>
      </c>
      <c r="Z164">
        <v>4.6512978921009002E-2</v>
      </c>
      <c r="AA164">
        <v>4.6837091293791697E-2</v>
      </c>
      <c r="AB164">
        <v>4.73231048041712E-2</v>
      </c>
      <c r="AC164">
        <v>4.7808887290926298E-2</v>
      </c>
      <c r="AD164">
        <v>4.8484523253987701E-2</v>
      </c>
      <c r="AE164">
        <v>4.9207581717387497E-2</v>
      </c>
      <c r="AF164">
        <v>4.9851170790288099E-2</v>
      </c>
      <c r="AG164">
        <v>5.0512152938140098E-2</v>
      </c>
      <c r="AH164">
        <v>5.1227429030448197E-2</v>
      </c>
      <c r="AI164">
        <v>5.0763791874233903E-2</v>
      </c>
      <c r="AJ164">
        <v>5.12450524047766E-2</v>
      </c>
      <c r="AK164">
        <v>5.1792956394306401E-2</v>
      </c>
      <c r="AL164">
        <v>5.2416187756367E-2</v>
      </c>
      <c r="AM164">
        <v>5.3101031960376098E-2</v>
      </c>
      <c r="AN164">
        <v>5.3807715479371999E-2</v>
      </c>
      <c r="AO164">
        <v>5.4546242464934801E-2</v>
      </c>
      <c r="AP164">
        <v>5.5347072487651403E-2</v>
      </c>
      <c r="AQ164">
        <v>5.61296612231773E-2</v>
      </c>
      <c r="AR164">
        <v>5.6985614181018197E-2</v>
      </c>
      <c r="AS164">
        <v>5.7744308728327601E-2</v>
      </c>
    </row>
    <row r="165" spans="1:45" hidden="1" x14ac:dyDescent="0.3">
      <c r="A165" t="s">
        <v>799</v>
      </c>
      <c r="B165" t="s">
        <v>684</v>
      </c>
      <c r="C165" t="s">
        <v>681</v>
      </c>
      <c r="D165" t="s">
        <v>680</v>
      </c>
      <c r="E165" t="s">
        <v>20</v>
      </c>
      <c r="F165">
        <v>5.4311645602729097</v>
      </c>
      <c r="G165">
        <v>9.6313178740919092</v>
      </c>
      <c r="H165">
        <v>208.41749883656101</v>
      </c>
      <c r="I165">
        <v>5126.8461667328902</v>
      </c>
      <c r="J165">
        <v>2.1923967978350001E-2</v>
      </c>
      <c r="K165">
        <v>-1.00117176771164E-17</v>
      </c>
      <c r="L165">
        <v>1.3969838619232201E-18</v>
      </c>
      <c r="M165">
        <v>9.7066268919596295E-4</v>
      </c>
      <c r="N165">
        <v>1.8809812893970401E-3</v>
      </c>
      <c r="O165">
        <v>2.3324411251413801E-3</v>
      </c>
      <c r="P165">
        <v>2.7068524778147301E-3</v>
      </c>
      <c r="Q165">
        <v>3.0694687013248499E-3</v>
      </c>
      <c r="R165">
        <v>3.3715955794591801E-3</v>
      </c>
      <c r="S165">
        <v>3.5744585006554298E-3</v>
      </c>
      <c r="T165">
        <v>3.6649783095007802E-3</v>
      </c>
      <c r="U165">
        <v>3.8342155207523902E-3</v>
      </c>
      <c r="V165">
        <v>4.0180621178587499E-3</v>
      </c>
      <c r="W165">
        <v>4.1127194907636397E-3</v>
      </c>
      <c r="X165">
        <v>4.31695683435442E-3</v>
      </c>
      <c r="Y165">
        <v>4.5217358738364397E-3</v>
      </c>
      <c r="Z165">
        <v>4.6243170136508497E-3</v>
      </c>
      <c r="AA165">
        <v>4.7082544842771898E-3</v>
      </c>
      <c r="AB165">
        <v>4.8074523122953903E-3</v>
      </c>
      <c r="AC165">
        <v>4.9057420614950602E-3</v>
      </c>
      <c r="AD165">
        <v>5.0226371253198699E-3</v>
      </c>
      <c r="AE165">
        <v>5.1436360080733901E-3</v>
      </c>
      <c r="AF165">
        <v>5.2554973061177098E-3</v>
      </c>
      <c r="AG165">
        <v>5.3968101395865499E-3</v>
      </c>
      <c r="AH165">
        <v>5.5132596383320499E-3</v>
      </c>
      <c r="AI165">
        <v>5.4991935568104999E-3</v>
      </c>
      <c r="AJ165">
        <v>5.5464581165489898E-3</v>
      </c>
      <c r="AK165">
        <v>5.6007030026356498E-3</v>
      </c>
      <c r="AL165">
        <v>5.6783980077306099E-3</v>
      </c>
      <c r="AM165">
        <v>5.7915741190985599E-3</v>
      </c>
      <c r="AN165">
        <v>5.9029152241890301E-3</v>
      </c>
      <c r="AO165">
        <v>6.0042645274756201E-3</v>
      </c>
      <c r="AP165">
        <v>6.0928436724265204E-3</v>
      </c>
      <c r="AQ165">
        <v>6.1820581168509896E-3</v>
      </c>
      <c r="AR165">
        <v>6.2757272336894801E-3</v>
      </c>
      <c r="AS165">
        <v>6.3689470165997197E-3</v>
      </c>
    </row>
    <row r="166" spans="1:45" hidden="1" x14ac:dyDescent="0.3">
      <c r="A166" t="s">
        <v>799</v>
      </c>
      <c r="B166" t="s">
        <v>682</v>
      </c>
      <c r="C166" t="s">
        <v>681</v>
      </c>
      <c r="D166" t="s">
        <v>680</v>
      </c>
      <c r="E166" t="s">
        <v>20</v>
      </c>
      <c r="F166">
        <v>5.4311645602729097</v>
      </c>
      <c r="G166">
        <v>9.6313178740919092</v>
      </c>
      <c r="H166">
        <v>208.41749883656101</v>
      </c>
      <c r="I166">
        <v>5126.8461667328902</v>
      </c>
      <c r="J166">
        <v>2.1923967978350001E-2</v>
      </c>
      <c r="K166">
        <v>-1.00117176771164E-17</v>
      </c>
      <c r="L166">
        <v>1.3969838619232201E-18</v>
      </c>
      <c r="M166">
        <v>6.9544958333469099E-4</v>
      </c>
      <c r="N166">
        <v>1.4004357709961599E-3</v>
      </c>
      <c r="O166">
        <v>1.86397953132398E-3</v>
      </c>
      <c r="P166">
        <v>2.2238488116262099E-3</v>
      </c>
      <c r="Q166">
        <v>2.56933829104968E-3</v>
      </c>
      <c r="R166">
        <v>2.8488239520830698E-3</v>
      </c>
      <c r="S166">
        <v>3.0079385500982299E-3</v>
      </c>
      <c r="T166">
        <v>3.05404032092764E-3</v>
      </c>
      <c r="U166">
        <v>3.1798587882059999E-3</v>
      </c>
      <c r="V166">
        <v>3.3515168089403198E-3</v>
      </c>
      <c r="W166">
        <v>3.4732775900624098E-3</v>
      </c>
      <c r="X166">
        <v>3.6970769367118102E-3</v>
      </c>
      <c r="Y166">
        <v>3.9457219690622099E-3</v>
      </c>
      <c r="Z166">
        <v>4.0784018347700896E-3</v>
      </c>
      <c r="AA166">
        <v>4.1944901101896599E-3</v>
      </c>
      <c r="AB166">
        <v>4.3242473627065001E-3</v>
      </c>
      <c r="AC166">
        <v>4.4534799953526204E-3</v>
      </c>
      <c r="AD166">
        <v>4.5989028787143697E-3</v>
      </c>
      <c r="AE166">
        <v>4.7479121051595798E-3</v>
      </c>
      <c r="AF166">
        <v>4.8885293703836603E-3</v>
      </c>
      <c r="AG166">
        <v>5.0609510293131996E-3</v>
      </c>
      <c r="AH166">
        <v>5.2063265284238297E-3</v>
      </c>
      <c r="AI166">
        <v>5.1883962116793698E-3</v>
      </c>
      <c r="AJ166">
        <v>5.3151283900808597E-3</v>
      </c>
      <c r="AK166">
        <v>5.4482423377723499E-3</v>
      </c>
      <c r="AL166">
        <v>5.6066254355636299E-3</v>
      </c>
      <c r="AM166">
        <v>5.80544118859639E-3</v>
      </c>
      <c r="AN166">
        <v>6.0036043911692802E-3</v>
      </c>
      <c r="AO166">
        <v>6.1913136688162103E-3</v>
      </c>
      <c r="AP166">
        <v>6.36475921869203E-3</v>
      </c>
      <c r="AQ166">
        <v>6.5381593687511104E-3</v>
      </c>
      <c r="AR166">
        <v>6.7176750375576898E-3</v>
      </c>
      <c r="AS166">
        <v>6.8842149485104798E-3</v>
      </c>
    </row>
    <row r="167" spans="1:45" hidden="1" x14ac:dyDescent="0.3">
      <c r="A167" t="s">
        <v>798</v>
      </c>
      <c r="B167" t="s">
        <v>686</v>
      </c>
      <c r="C167" t="s">
        <v>681</v>
      </c>
      <c r="D167" t="s">
        <v>680</v>
      </c>
      <c r="E167" t="s">
        <v>752</v>
      </c>
      <c r="F167">
        <v>-3.3824446831156401</v>
      </c>
      <c r="G167">
        <v>35.670525551935597</v>
      </c>
      <c r="H167">
        <v>104.604430457245</v>
      </c>
      <c r="I167">
        <v>1554.3137885649101</v>
      </c>
      <c r="J167">
        <v>5.0417198067000003E-3</v>
      </c>
      <c r="K167">
        <v>4.9523914536E-3</v>
      </c>
      <c r="L167">
        <v>4.0813600454999996E-3</v>
      </c>
      <c r="M167">
        <v>5.5578888893000004E-3</v>
      </c>
      <c r="N167">
        <v>5.3924140431999999E-3</v>
      </c>
      <c r="O167">
        <v>4.6663816433999998E-3</v>
      </c>
      <c r="P167">
        <v>4.5382871017000002E-3</v>
      </c>
      <c r="Q167">
        <v>4.4178641517000003E-3</v>
      </c>
      <c r="R167">
        <v>4.2971493304E-3</v>
      </c>
      <c r="S167">
        <v>4.1679582726000001E-3</v>
      </c>
      <c r="T167">
        <v>4.0444915424999997E-3</v>
      </c>
      <c r="U167">
        <v>3.9239313283000003E-3</v>
      </c>
      <c r="V167">
        <v>3.8066748234999999E-3</v>
      </c>
      <c r="W167">
        <v>3.6960529075999999E-3</v>
      </c>
      <c r="X167">
        <v>3.5878684647E-3</v>
      </c>
      <c r="Y167">
        <v>3.4823118156999998E-3</v>
      </c>
      <c r="Z167">
        <v>3.3819892719000001E-3</v>
      </c>
      <c r="AA167">
        <v>3.2814481248999998E-3</v>
      </c>
      <c r="AB167">
        <v>3.1806058543999999E-3</v>
      </c>
      <c r="AC167">
        <v>3.0836304762999998E-3</v>
      </c>
      <c r="AD167">
        <v>2.9857669743999999E-3</v>
      </c>
      <c r="AE167">
        <v>2.8891280086E-3</v>
      </c>
      <c r="AF167">
        <v>2.7995649056999999E-3</v>
      </c>
      <c r="AG167">
        <v>2.7137329650999999E-3</v>
      </c>
      <c r="AH167">
        <v>2.6305114877E-3</v>
      </c>
      <c r="AI167">
        <v>2.5468643504000001E-3</v>
      </c>
      <c r="AJ167">
        <v>2.4689309955E-3</v>
      </c>
      <c r="AK167">
        <v>2.3932507799999999E-3</v>
      </c>
      <c r="AL167">
        <v>2.3215822848999998E-3</v>
      </c>
      <c r="AM167">
        <v>2.2540901255E-3</v>
      </c>
      <c r="AN167">
        <v>2.1900774361000002E-3</v>
      </c>
      <c r="AO167">
        <v>2.1294981320999998E-3</v>
      </c>
      <c r="AP167">
        <v>2.0697993215999999E-3</v>
      </c>
      <c r="AQ167">
        <v>2.0105084223999998E-3</v>
      </c>
      <c r="AR167">
        <v>1.9509336553E-3</v>
      </c>
      <c r="AS167">
        <v>1.8942483730000001E-3</v>
      </c>
    </row>
    <row r="168" spans="1:45" hidden="1" x14ac:dyDescent="0.3">
      <c r="A168" t="s">
        <v>798</v>
      </c>
      <c r="B168" t="s">
        <v>685</v>
      </c>
      <c r="C168" t="s">
        <v>681</v>
      </c>
      <c r="D168" t="s">
        <v>680</v>
      </c>
      <c r="E168" t="s">
        <v>752</v>
      </c>
      <c r="F168">
        <v>-3.3824446831156401</v>
      </c>
      <c r="G168">
        <v>35.670525551935597</v>
      </c>
      <c r="H168">
        <v>104.604430457245</v>
      </c>
      <c r="I168">
        <v>1554.3137885649101</v>
      </c>
      <c r="J168">
        <v>5.0417198067000003E-3</v>
      </c>
      <c r="K168">
        <v>4.9523914536E-3</v>
      </c>
      <c r="L168">
        <v>4.0632813250394599E-3</v>
      </c>
      <c r="M168">
        <v>5.5099381129101897E-3</v>
      </c>
      <c r="N168">
        <v>5.32359353586898E-3</v>
      </c>
      <c r="O168">
        <v>4.5880254904268501E-3</v>
      </c>
      <c r="P168">
        <v>4.44607003799888E-3</v>
      </c>
      <c r="Q168">
        <v>4.3135423516326796E-3</v>
      </c>
      <c r="R168">
        <v>4.1824810972279098E-3</v>
      </c>
      <c r="S168">
        <v>4.0447791078666003E-3</v>
      </c>
      <c r="T168">
        <v>3.9140718475885704E-3</v>
      </c>
      <c r="U168">
        <v>3.78751217562485E-3</v>
      </c>
      <c r="V168">
        <v>3.6653452424534501E-3</v>
      </c>
      <c r="W168">
        <v>3.5506213834078401E-3</v>
      </c>
      <c r="X168">
        <v>3.4391654815835002E-3</v>
      </c>
      <c r="Y168">
        <v>3.33106859310552E-3</v>
      </c>
      <c r="Z168">
        <v>3.2287537859675198E-3</v>
      </c>
      <c r="AA168">
        <v>3.1269527621588899E-3</v>
      </c>
      <c r="AB168">
        <v>3.0255142353799599E-3</v>
      </c>
      <c r="AC168">
        <v>2.9283495334236102E-3</v>
      </c>
      <c r="AD168">
        <v>2.8308941781065001E-3</v>
      </c>
      <c r="AE168">
        <v>2.73679045410685E-3</v>
      </c>
      <c r="AF168">
        <v>2.65334429592414E-3</v>
      </c>
      <c r="AG168">
        <v>2.5732675608041902E-3</v>
      </c>
      <c r="AH168">
        <v>2.49539590070321E-3</v>
      </c>
      <c r="AI168">
        <v>2.4169931047287002E-3</v>
      </c>
      <c r="AJ168">
        <v>2.3438964423029502E-3</v>
      </c>
      <c r="AK168">
        <v>2.2728333002296399E-3</v>
      </c>
      <c r="AL168">
        <v>2.20548380573031E-3</v>
      </c>
      <c r="AM168">
        <v>2.1420146390795998E-3</v>
      </c>
      <c r="AN168">
        <v>2.0817730258248898E-3</v>
      </c>
      <c r="AO168">
        <v>2.0247237508515901E-3</v>
      </c>
      <c r="AP168">
        <v>1.9684477321621598E-3</v>
      </c>
      <c r="AQ168">
        <v>1.9125004845687299E-3</v>
      </c>
      <c r="AR168">
        <v>1.8562282320679999E-3</v>
      </c>
      <c r="AS168">
        <v>1.80265465881151E-3</v>
      </c>
    </row>
    <row r="169" spans="1:45" hidden="1" x14ac:dyDescent="0.3">
      <c r="A169" t="s">
        <v>798</v>
      </c>
      <c r="B169" t="s">
        <v>684</v>
      </c>
      <c r="C169" t="s">
        <v>681</v>
      </c>
      <c r="D169" t="s">
        <v>680</v>
      </c>
      <c r="E169" t="s">
        <v>752</v>
      </c>
      <c r="F169">
        <v>-3.3824446831156401</v>
      </c>
      <c r="G169">
        <v>35.670525551935597</v>
      </c>
      <c r="H169">
        <v>999</v>
      </c>
      <c r="I169">
        <v>999</v>
      </c>
      <c r="J169">
        <v>0</v>
      </c>
      <c r="K169">
        <v>3.41970007866621E-19</v>
      </c>
      <c r="L169">
        <v>-2.8498757865368301E-12</v>
      </c>
      <c r="M169">
        <v>-7.7157171954993201E-13</v>
      </c>
      <c r="N169">
        <v>1.0776731688609101E-12</v>
      </c>
      <c r="O169">
        <v>3.03602202530633E-12</v>
      </c>
      <c r="P169">
        <v>6.0566495547031197E-12</v>
      </c>
      <c r="Q169">
        <v>7.9769728285376294E-12</v>
      </c>
      <c r="R169">
        <v>9.0375358667452693E-12</v>
      </c>
      <c r="S169">
        <v>9.3519588636226406E-12</v>
      </c>
      <c r="T169">
        <v>9.3368054597853506E-12</v>
      </c>
      <c r="U169">
        <v>9.2035731232271095E-12</v>
      </c>
      <c r="V169">
        <v>8.9743094928698797E-12</v>
      </c>
      <c r="W169">
        <v>8.7061692011271E-12</v>
      </c>
      <c r="X169">
        <v>8.3715640263509199E-12</v>
      </c>
      <c r="Y169">
        <v>7.00860980974943E-12</v>
      </c>
      <c r="Z169">
        <v>6.0280921274108797E-12</v>
      </c>
      <c r="AA169">
        <v>5.3187464776340001E-12</v>
      </c>
      <c r="AB169">
        <v>4.6659349627797403E-12</v>
      </c>
      <c r="AC169">
        <v>4.1748215785888902E-12</v>
      </c>
      <c r="AD169">
        <v>3.8222991495958499E-12</v>
      </c>
      <c r="AE169">
        <v>3.4701954308491299E-12</v>
      </c>
      <c r="AF169">
        <v>3.16812249886017E-12</v>
      </c>
      <c r="AG169">
        <v>2.90722935591192E-12</v>
      </c>
      <c r="AH169">
        <v>2.6637824231712498E-12</v>
      </c>
      <c r="AI169">
        <v>2.39959940140352E-12</v>
      </c>
      <c r="AJ169">
        <v>2.1645658443167001E-12</v>
      </c>
      <c r="AK169">
        <v>1.9577842309712801E-12</v>
      </c>
      <c r="AL169">
        <v>1.77740012993858E-12</v>
      </c>
      <c r="AM169">
        <v>1.6125846839207801E-12</v>
      </c>
      <c r="AN169">
        <v>1.4608309816742701E-12</v>
      </c>
      <c r="AO169">
        <v>1.32301319950833E-12</v>
      </c>
      <c r="AP169">
        <v>1.1974251786670701E-12</v>
      </c>
      <c r="AQ169">
        <v>1.0829133647316099E-12</v>
      </c>
      <c r="AR169">
        <v>9.7961926432998403E-13</v>
      </c>
      <c r="AS169">
        <v>8.8770775948947402E-13</v>
      </c>
    </row>
    <row r="170" spans="1:45" hidden="1" x14ac:dyDescent="0.3">
      <c r="A170" t="s">
        <v>798</v>
      </c>
      <c r="B170" t="s">
        <v>682</v>
      </c>
      <c r="C170" t="s">
        <v>681</v>
      </c>
      <c r="D170" t="s">
        <v>680</v>
      </c>
      <c r="E170" t="s">
        <v>752</v>
      </c>
      <c r="F170">
        <v>-3.3824446831156401</v>
      </c>
      <c r="G170">
        <v>35.670525551935597</v>
      </c>
      <c r="H170">
        <v>999</v>
      </c>
      <c r="I170">
        <v>999</v>
      </c>
      <c r="J170">
        <v>0</v>
      </c>
      <c r="K170">
        <v>3.41970007866621E-19</v>
      </c>
      <c r="L170">
        <v>-2.9459011699283401E-12</v>
      </c>
      <c r="M170">
        <v>-1.1330203117946001E-12</v>
      </c>
      <c r="N170">
        <v>5.1217781819344497E-13</v>
      </c>
      <c r="O170">
        <v>2.2272116008711802E-12</v>
      </c>
      <c r="P170">
        <v>4.79136682946542E-12</v>
      </c>
      <c r="Q170">
        <v>6.3480860731772797E-12</v>
      </c>
      <c r="R170">
        <v>7.1423535254047003E-12</v>
      </c>
      <c r="S170">
        <v>7.2951457999397508E-12</v>
      </c>
      <c r="T170">
        <v>7.1905283452730202E-12</v>
      </c>
      <c r="U170">
        <v>6.9969878782198398E-12</v>
      </c>
      <c r="V170">
        <v>6.7353743594918203E-12</v>
      </c>
      <c r="W170">
        <v>6.4547516406383502E-12</v>
      </c>
      <c r="X170">
        <v>6.1355492779109201E-12</v>
      </c>
      <c r="Y170">
        <v>5.0614007566459801E-12</v>
      </c>
      <c r="Z170">
        <v>4.3017517152176802E-12</v>
      </c>
      <c r="AA170">
        <v>3.7642847423480398E-12</v>
      </c>
      <c r="AB170">
        <v>3.27982059319533E-12</v>
      </c>
      <c r="AC170">
        <v>2.9248298607464802E-12</v>
      </c>
      <c r="AD170">
        <v>2.67853223022933E-12</v>
      </c>
      <c r="AE170">
        <v>2.4372311907176599E-12</v>
      </c>
      <c r="AF170">
        <v>2.2371325320610298E-12</v>
      </c>
      <c r="AG170">
        <v>2.06909589256036E-12</v>
      </c>
      <c r="AH170">
        <v>1.9103711381942298E-12</v>
      </c>
      <c r="AI170">
        <v>1.73594941519052E-12</v>
      </c>
      <c r="AJ170">
        <v>1.5810139518063599E-12</v>
      </c>
      <c r="AK170">
        <v>1.44469447581489E-12</v>
      </c>
      <c r="AL170">
        <v>1.3264078163946399E-12</v>
      </c>
      <c r="AM170">
        <v>1.2179814815757099E-12</v>
      </c>
      <c r="AN170">
        <v>1.11706574093204E-12</v>
      </c>
      <c r="AO170">
        <v>1.02497352412731E-12</v>
      </c>
      <c r="AP170">
        <v>9.4048023148849093E-13</v>
      </c>
      <c r="AQ170">
        <v>8.6249825314365297E-13</v>
      </c>
      <c r="AR170">
        <v>7.9186393550187099E-13</v>
      </c>
      <c r="AS170">
        <v>7.2877641138828299E-13</v>
      </c>
    </row>
    <row r="171" spans="1:45" hidden="1" x14ac:dyDescent="0.3">
      <c r="A171" t="s">
        <v>797</v>
      </c>
      <c r="B171" t="s">
        <v>686</v>
      </c>
      <c r="C171" t="s">
        <v>681</v>
      </c>
      <c r="D171" t="s">
        <v>680</v>
      </c>
      <c r="E171" t="s">
        <v>752</v>
      </c>
      <c r="F171">
        <v>5.40497726079108</v>
      </c>
      <c r="G171">
        <v>13.7936759254567</v>
      </c>
      <c r="H171">
        <v>38.534028607234298</v>
      </c>
      <c r="I171">
        <v>572.57586252677299</v>
      </c>
      <c r="J171">
        <v>2.2677716810100002E-2</v>
      </c>
      <c r="K171">
        <v>1.9324086511799999E-2</v>
      </c>
      <c r="L171">
        <v>1.7341015367300001E-2</v>
      </c>
      <c r="M171">
        <v>2.28012410346E-2</v>
      </c>
      <c r="N171">
        <v>2.1768316440400001E-2</v>
      </c>
      <c r="O171">
        <v>1.8689240369899999E-2</v>
      </c>
      <c r="P171">
        <v>1.8068234508299998E-2</v>
      </c>
      <c r="Q171">
        <v>1.74903987235E-2</v>
      </c>
      <c r="R171">
        <v>1.6928282237700001E-2</v>
      </c>
      <c r="S171">
        <v>1.63487546491E-2</v>
      </c>
      <c r="T171">
        <v>1.5803778995799999E-2</v>
      </c>
      <c r="U171">
        <v>1.5277619890900001E-2</v>
      </c>
      <c r="V171">
        <v>1.47817126907E-2</v>
      </c>
      <c r="W171">
        <v>1.43283016151E-2</v>
      </c>
      <c r="X171">
        <v>1.3896990775500001E-2</v>
      </c>
      <c r="Y171">
        <v>1.34910331927E-2</v>
      </c>
      <c r="Z171">
        <v>1.31180723505E-2</v>
      </c>
      <c r="AA171">
        <v>1.27600223514E-2</v>
      </c>
      <c r="AB171">
        <v>1.2411038545200001E-2</v>
      </c>
      <c r="AC171">
        <v>1.20876261437E-2</v>
      </c>
      <c r="AD171">
        <v>1.17696922303E-2</v>
      </c>
      <c r="AE171">
        <v>1.14644817542E-2</v>
      </c>
      <c r="AF171">
        <v>1.1181997331100001E-2</v>
      </c>
      <c r="AG171">
        <v>1.09093691197E-2</v>
      </c>
      <c r="AH171">
        <v>1.0643700115800001E-2</v>
      </c>
      <c r="AI171">
        <v>1.03719129471E-2</v>
      </c>
      <c r="AJ171">
        <v>1.01181644149E-2</v>
      </c>
      <c r="AK171">
        <v>9.8587416067E-3</v>
      </c>
      <c r="AL171">
        <v>9.6003591737999997E-3</v>
      </c>
      <c r="AM171">
        <v>9.3427697377000008E-3</v>
      </c>
      <c r="AN171">
        <v>9.0826535948000005E-3</v>
      </c>
      <c r="AO171">
        <v>8.8222421225000007E-3</v>
      </c>
      <c r="AP171">
        <v>8.5624818942000008E-3</v>
      </c>
      <c r="AQ171">
        <v>8.3026626660000005E-3</v>
      </c>
      <c r="AR171">
        <v>8.0411361392999994E-3</v>
      </c>
      <c r="AS171">
        <v>7.7926700017000002E-3</v>
      </c>
    </row>
    <row r="172" spans="1:45" hidden="1" x14ac:dyDescent="0.3">
      <c r="A172" t="s">
        <v>797</v>
      </c>
      <c r="B172" t="s">
        <v>685</v>
      </c>
      <c r="C172" t="s">
        <v>681</v>
      </c>
      <c r="D172" t="s">
        <v>680</v>
      </c>
      <c r="E172" t="s">
        <v>752</v>
      </c>
      <c r="F172">
        <v>5.40497726079108</v>
      </c>
      <c r="G172">
        <v>13.7936759254567</v>
      </c>
      <c r="H172">
        <v>38.534028607234298</v>
      </c>
      <c r="I172">
        <v>572.57586252677299</v>
      </c>
      <c r="J172">
        <v>2.2677716810100002E-2</v>
      </c>
      <c r="K172">
        <v>1.9324086511799999E-2</v>
      </c>
      <c r="L172">
        <v>1.7188658729642502E-2</v>
      </c>
      <c r="M172">
        <v>2.2409831397170201E-2</v>
      </c>
      <c r="N172">
        <v>2.1214838837678201E-2</v>
      </c>
      <c r="O172">
        <v>1.8065556069821301E-2</v>
      </c>
      <c r="P172">
        <v>1.73273177323243E-2</v>
      </c>
      <c r="Q172">
        <v>1.6644579955032299E-2</v>
      </c>
      <c r="R172">
        <v>1.5990023728043201E-2</v>
      </c>
      <c r="S172">
        <v>1.53314914141407E-2</v>
      </c>
      <c r="T172">
        <v>1.4716732977874699E-2</v>
      </c>
      <c r="U172">
        <v>1.41303751357299E-2</v>
      </c>
      <c r="V172">
        <v>1.35820172489179E-2</v>
      </c>
      <c r="W172">
        <v>1.30815136077146E-2</v>
      </c>
      <c r="X172">
        <v>1.2608963049015201E-2</v>
      </c>
      <c r="Y172">
        <v>1.2166516452515199E-2</v>
      </c>
      <c r="Z172">
        <v>1.17604608802231E-2</v>
      </c>
      <c r="AA172">
        <v>1.1374065279498099E-2</v>
      </c>
      <c r="AB172">
        <v>1.10014092364031E-2</v>
      </c>
      <c r="AC172">
        <v>1.0656635722868801E-2</v>
      </c>
      <c r="AD172">
        <v>1.03216011884646E-2</v>
      </c>
      <c r="AE172">
        <v>1.0002395159570399E-2</v>
      </c>
      <c r="AF172">
        <v>9.70729839464873E-3</v>
      </c>
      <c r="AG172">
        <v>9.4301325184866294E-3</v>
      </c>
      <c r="AH172">
        <v>9.2027177241194597E-3</v>
      </c>
      <c r="AI172">
        <v>8.9698035737227604E-3</v>
      </c>
      <c r="AJ172">
        <v>8.75229936227356E-3</v>
      </c>
      <c r="AK172">
        <v>8.5296638385527392E-3</v>
      </c>
      <c r="AL172">
        <v>8.3066690163418593E-3</v>
      </c>
      <c r="AM172">
        <v>8.0842625720646093E-3</v>
      </c>
      <c r="AN172">
        <v>7.8595773461821207E-3</v>
      </c>
      <c r="AO172">
        <v>7.63454831126433E-3</v>
      </c>
      <c r="AP172">
        <v>7.4099988123438399E-3</v>
      </c>
      <c r="AQ172">
        <v>7.1853180784185499E-3</v>
      </c>
      <c r="AR172">
        <v>6.959083802754E-3</v>
      </c>
      <c r="AS172">
        <v>6.7440812509069201E-3</v>
      </c>
    </row>
    <row r="173" spans="1:45" hidden="1" x14ac:dyDescent="0.3">
      <c r="A173" t="s">
        <v>797</v>
      </c>
      <c r="B173" t="s">
        <v>684</v>
      </c>
      <c r="C173" t="s">
        <v>681</v>
      </c>
      <c r="D173" t="s">
        <v>680</v>
      </c>
      <c r="E173" t="s">
        <v>752</v>
      </c>
      <c r="F173">
        <v>5.40497726079108</v>
      </c>
      <c r="G173">
        <v>13.7936759254567</v>
      </c>
      <c r="H173">
        <v>3728388.0907189399</v>
      </c>
      <c r="I173">
        <v>55399995.906106703</v>
      </c>
      <c r="J173">
        <v>0</v>
      </c>
      <c r="K173">
        <v>2.27009877562523E-18</v>
      </c>
      <c r="L173">
        <v>-4.9812481696818001E-8</v>
      </c>
      <c r="M173">
        <v>-1.4065325048690801E-8</v>
      </c>
      <c r="N173">
        <v>1.6550914198284E-8</v>
      </c>
      <c r="O173">
        <v>4.9884393162004502E-8</v>
      </c>
      <c r="P173">
        <v>1.0123622583504E-7</v>
      </c>
      <c r="Q173">
        <v>1.3418413937172301E-7</v>
      </c>
      <c r="R173">
        <v>1.5271561597550199E-7</v>
      </c>
      <c r="S173">
        <v>1.5866124614941599E-7</v>
      </c>
      <c r="T173">
        <v>1.5880199722404901E-7</v>
      </c>
      <c r="U173">
        <v>1.56992903812519E-7</v>
      </c>
      <c r="V173">
        <v>1.5363047681255599E-7</v>
      </c>
      <c r="W173">
        <v>1.4967463564189901E-7</v>
      </c>
      <c r="X173">
        <v>1.4459626653561799E-7</v>
      </c>
      <c r="Y173">
        <v>1.2205217232747501E-7</v>
      </c>
      <c r="Z173">
        <v>1.06036517889414E-7</v>
      </c>
      <c r="AA173">
        <v>9.4587360932057606E-8</v>
      </c>
      <c r="AB173">
        <v>8.3907849070739395E-8</v>
      </c>
      <c r="AC173">
        <v>7.5173932624228302E-8</v>
      </c>
      <c r="AD173">
        <v>6.7365488706204698E-8</v>
      </c>
      <c r="AE173">
        <v>6.0005831605794705E-8</v>
      </c>
      <c r="AF173">
        <v>5.5020665127497499E-8</v>
      </c>
      <c r="AG173">
        <v>5.0695870838492603E-8</v>
      </c>
      <c r="AH173">
        <v>4.6635399826197298E-8</v>
      </c>
      <c r="AI173">
        <v>4.2203551359402503E-8</v>
      </c>
      <c r="AJ173">
        <v>3.8245515504478098E-8</v>
      </c>
      <c r="AK173">
        <v>3.4744272858772603E-8</v>
      </c>
      <c r="AL173">
        <v>3.1674005836914101E-8</v>
      </c>
      <c r="AM173">
        <v>2.8842796247596102E-8</v>
      </c>
      <c r="AN173">
        <v>2.62145536257666E-8</v>
      </c>
      <c r="AO173">
        <v>2.3818115745437101E-8</v>
      </c>
      <c r="AP173">
        <v>2.1641611906659899E-8</v>
      </c>
      <c r="AQ173">
        <v>1.9666330326096E-8</v>
      </c>
      <c r="AR173">
        <v>1.7893253200559599E-8</v>
      </c>
      <c r="AS173">
        <v>1.6333151815464201E-8</v>
      </c>
    </row>
    <row r="174" spans="1:45" hidden="1" x14ac:dyDescent="0.3">
      <c r="A174" t="s">
        <v>797</v>
      </c>
      <c r="B174" t="s">
        <v>682</v>
      </c>
      <c r="C174" t="s">
        <v>681</v>
      </c>
      <c r="D174" t="s">
        <v>680</v>
      </c>
      <c r="E174" t="s">
        <v>752</v>
      </c>
      <c r="F174">
        <v>5.40497726079108</v>
      </c>
      <c r="G174">
        <v>13.7936759254567</v>
      </c>
      <c r="H174">
        <v>3728388.0907189399</v>
      </c>
      <c r="I174">
        <v>55399995.906106703</v>
      </c>
      <c r="J174">
        <v>0</v>
      </c>
      <c r="K174">
        <v>2.27009877562523E-18</v>
      </c>
      <c r="L174">
        <v>-5.0784228290247698E-8</v>
      </c>
      <c r="M174">
        <v>-1.9571495064110001E-8</v>
      </c>
      <c r="N174">
        <v>7.2052323123752501E-9</v>
      </c>
      <c r="O174">
        <v>3.54130271551732E-8</v>
      </c>
      <c r="P174">
        <v>7.7281995115065494E-8</v>
      </c>
      <c r="Q174">
        <v>1.0261040753758001E-7</v>
      </c>
      <c r="R174">
        <v>1.15498845937967E-7</v>
      </c>
      <c r="S174">
        <v>1.1795095973834701E-7</v>
      </c>
      <c r="T174">
        <v>1.16109996263411E-7</v>
      </c>
      <c r="U174">
        <v>1.12887126689657E-7</v>
      </c>
      <c r="V174">
        <v>1.0865545272022001E-7</v>
      </c>
      <c r="W174">
        <v>1.04202032411856E-7</v>
      </c>
      <c r="X174">
        <v>9.91689867806837E-8</v>
      </c>
      <c r="Y174">
        <v>8.2269295633511299E-8</v>
      </c>
      <c r="Z174">
        <v>7.0451097315706895E-8</v>
      </c>
      <c r="AA174">
        <v>6.2181692126714106E-8</v>
      </c>
      <c r="AB174">
        <v>5.4662243503500297E-8</v>
      </c>
      <c r="AC174">
        <v>4.8643079706775901E-8</v>
      </c>
      <c r="AD174">
        <v>4.3352415621035001E-8</v>
      </c>
      <c r="AE174">
        <v>3.84925786280069E-8</v>
      </c>
      <c r="AF174">
        <v>3.5349849653290999E-8</v>
      </c>
      <c r="AG174">
        <v>3.2721719482393998E-8</v>
      </c>
      <c r="AH174">
        <v>3.0343987185434699E-8</v>
      </c>
      <c r="AI174">
        <v>2.7712323142392598E-8</v>
      </c>
      <c r="AJ174">
        <v>2.53639946276465E-8</v>
      </c>
      <c r="AK174">
        <v>2.32854077816923E-8</v>
      </c>
      <c r="AL174">
        <v>2.14680493530459E-8</v>
      </c>
      <c r="AM174">
        <v>1.9784522195619398E-8</v>
      </c>
      <c r="AN174">
        <v>1.8202845562300802E-8</v>
      </c>
      <c r="AO174">
        <v>1.6753701570817299E-8</v>
      </c>
      <c r="AP174">
        <v>1.54303417533384E-8</v>
      </c>
      <c r="AQ174">
        <v>1.4216473972614199E-8</v>
      </c>
      <c r="AR174">
        <v>1.31238554564109E-8</v>
      </c>
      <c r="AS174">
        <v>1.21626637340351E-8</v>
      </c>
    </row>
    <row r="175" spans="1:45" hidden="1" x14ac:dyDescent="0.3">
      <c r="A175" t="s">
        <v>796</v>
      </c>
      <c r="B175" t="s">
        <v>686</v>
      </c>
      <c r="C175" t="s">
        <v>681</v>
      </c>
      <c r="D175" t="s">
        <v>680</v>
      </c>
      <c r="E175" t="s">
        <v>22</v>
      </c>
      <c r="F175">
        <v>-6.0138576514492303</v>
      </c>
      <c r="G175">
        <v>20.6123783506915</v>
      </c>
      <c r="H175">
        <v>81.495888460942993</v>
      </c>
      <c r="I175">
        <v>1210.9447237797999</v>
      </c>
      <c r="J175">
        <v>9.9796254819999996E-4</v>
      </c>
      <c r="K175">
        <v>9.7327020069999995E-4</v>
      </c>
      <c r="L175">
        <v>9.2729649700000005E-4</v>
      </c>
      <c r="M175">
        <v>8.6290856840000004E-4</v>
      </c>
      <c r="N175">
        <v>7.9839727289999997E-4</v>
      </c>
      <c r="O175">
        <v>7.4026417680000001E-4</v>
      </c>
      <c r="P175">
        <v>6.9111747450000005E-4</v>
      </c>
      <c r="Q175">
        <v>6.4780730069999997E-4</v>
      </c>
      <c r="R175">
        <v>6.0837537749999998E-4</v>
      </c>
      <c r="S175">
        <v>5.7254291819999997E-4</v>
      </c>
      <c r="T175">
        <v>5.4187905359999997E-4</v>
      </c>
      <c r="U175">
        <v>5.156968884E-4</v>
      </c>
      <c r="V175">
        <v>4.9335943230000001E-4</v>
      </c>
      <c r="W175">
        <v>4.7545758839999999E-4</v>
      </c>
      <c r="X175">
        <v>4.6147692440000001E-4</v>
      </c>
      <c r="Y175">
        <v>4.5176361380000002E-4</v>
      </c>
      <c r="Z175">
        <v>4.4136108030000003E-4</v>
      </c>
      <c r="AA175">
        <v>4.3039995890000002E-4</v>
      </c>
      <c r="AB175">
        <v>4.1887783480000002E-4</v>
      </c>
      <c r="AC175">
        <v>4.0742410009999999E-4</v>
      </c>
      <c r="AD175">
        <v>3.9593550369999999E-4</v>
      </c>
      <c r="AE175">
        <v>3.8423783149999999E-4</v>
      </c>
      <c r="AF175">
        <v>3.7306047800000002E-4</v>
      </c>
      <c r="AG175">
        <v>3.621580916E-4</v>
      </c>
      <c r="AH175">
        <v>3.5157366919999998E-4</v>
      </c>
      <c r="AI175">
        <v>3.4128048989999997E-4</v>
      </c>
      <c r="AJ175">
        <v>3.315648219E-4</v>
      </c>
      <c r="AK175">
        <v>3.2228524409999999E-4</v>
      </c>
      <c r="AL175">
        <v>3.136266081E-4</v>
      </c>
      <c r="AM175">
        <v>3.0556013619999998E-4</v>
      </c>
      <c r="AN175">
        <v>2.979373845E-4</v>
      </c>
      <c r="AO175">
        <v>2.9074894669999998E-4</v>
      </c>
      <c r="AP175">
        <v>2.8392265569999998E-4</v>
      </c>
      <c r="AQ175">
        <v>2.7735809420000002E-4</v>
      </c>
      <c r="AR175">
        <v>2.7110379629999997E-4</v>
      </c>
      <c r="AS175">
        <v>2.6510506939999998E-4</v>
      </c>
    </row>
    <row r="176" spans="1:45" hidden="1" x14ac:dyDescent="0.3">
      <c r="A176" t="s">
        <v>796</v>
      </c>
      <c r="B176" t="s">
        <v>685</v>
      </c>
      <c r="C176" t="s">
        <v>681</v>
      </c>
      <c r="D176" t="s">
        <v>680</v>
      </c>
      <c r="E176" t="s">
        <v>22</v>
      </c>
      <c r="F176">
        <v>-6.0138576514492303</v>
      </c>
      <c r="G176">
        <v>20.6123783506915</v>
      </c>
      <c r="H176">
        <v>81.495888460942993</v>
      </c>
      <c r="I176">
        <v>1210.9447237797999</v>
      </c>
      <c r="J176">
        <v>9.9796254819999996E-4</v>
      </c>
      <c r="K176">
        <v>9.7327020069999995E-4</v>
      </c>
      <c r="L176">
        <v>9.1930770224990803E-4</v>
      </c>
      <c r="M176">
        <v>8.4870962406211601E-4</v>
      </c>
      <c r="N176">
        <v>7.7916033380636405E-4</v>
      </c>
      <c r="O176">
        <v>7.1694270881460503E-4</v>
      </c>
      <c r="P176">
        <v>6.6440260910104404E-4</v>
      </c>
      <c r="Q176">
        <v>6.1829160431656801E-4</v>
      </c>
      <c r="R176">
        <v>5.7660312336304002E-4</v>
      </c>
      <c r="S176">
        <v>5.3896084935741296E-4</v>
      </c>
      <c r="T176">
        <v>5.06729090792118E-4</v>
      </c>
      <c r="U176">
        <v>4.7915419369977998E-4</v>
      </c>
      <c r="V176">
        <v>4.5554518710570399E-4</v>
      </c>
      <c r="W176">
        <v>4.36346991473947E-4</v>
      </c>
      <c r="X176">
        <v>4.2217788608569801E-4</v>
      </c>
      <c r="Y176">
        <v>4.1322867298267899E-4</v>
      </c>
      <c r="Z176">
        <v>4.0365029018215399E-4</v>
      </c>
      <c r="AA176">
        <v>3.9356203836257898E-4</v>
      </c>
      <c r="AB176">
        <v>3.8296162468431298E-4</v>
      </c>
      <c r="AC176">
        <v>3.72424272353305E-4</v>
      </c>
      <c r="AD176">
        <v>3.6185543227886202E-4</v>
      </c>
      <c r="AE176">
        <v>3.5109586590238902E-4</v>
      </c>
      <c r="AF176">
        <v>3.40811984470174E-4</v>
      </c>
      <c r="AG176">
        <v>3.3077955049242997E-4</v>
      </c>
      <c r="AH176">
        <v>3.2103786326180799E-4</v>
      </c>
      <c r="AI176">
        <v>3.1160080952161401E-4</v>
      </c>
      <c r="AJ176">
        <v>3.0273007092553901E-4</v>
      </c>
      <c r="AK176">
        <v>2.9425749766081498E-4</v>
      </c>
      <c r="AL176">
        <v>2.8635186558749102E-4</v>
      </c>
      <c r="AM176">
        <v>2.7898689967701702E-4</v>
      </c>
      <c r="AN176">
        <v>2.72027065549968E-4</v>
      </c>
      <c r="AO176">
        <v>2.6546377493135603E-4</v>
      </c>
      <c r="AP176">
        <v>2.5923113678010001E-4</v>
      </c>
      <c r="AQ176">
        <v>2.53237466652183E-4</v>
      </c>
      <c r="AR176">
        <v>2.4752707784794699E-4</v>
      </c>
      <c r="AS176">
        <v>2.4205003414501901E-4</v>
      </c>
    </row>
    <row r="177" spans="1:45" hidden="1" x14ac:dyDescent="0.3">
      <c r="A177" t="s">
        <v>796</v>
      </c>
      <c r="B177" t="s">
        <v>684</v>
      </c>
      <c r="C177" t="s">
        <v>681</v>
      </c>
      <c r="D177" t="s">
        <v>680</v>
      </c>
      <c r="E177" t="s">
        <v>22</v>
      </c>
      <c r="F177">
        <v>-6.0138576514492303</v>
      </c>
      <c r="G177">
        <v>20.6123783506915</v>
      </c>
      <c r="H177">
        <v>999</v>
      </c>
      <c r="I177">
        <v>999</v>
      </c>
      <c r="J177">
        <v>0</v>
      </c>
      <c r="K177">
        <v>4.3655745685100597E-20</v>
      </c>
      <c r="L177">
        <v>2.1923160835285699E-11</v>
      </c>
      <c r="M177">
        <v>1.99542126756569E-11</v>
      </c>
      <c r="N177">
        <v>1.7608926100365399E-11</v>
      </c>
      <c r="O177">
        <v>1.5083679565577799E-11</v>
      </c>
      <c r="P177">
        <v>1.30553938142839E-11</v>
      </c>
      <c r="Q177">
        <v>1.13821695194929E-11</v>
      </c>
      <c r="R177">
        <v>9.9812092739739503E-12</v>
      </c>
      <c r="S177">
        <v>8.8046980381477595E-12</v>
      </c>
      <c r="T177">
        <v>7.8386178283835806E-12</v>
      </c>
      <c r="U177">
        <v>7.0445789388031702E-12</v>
      </c>
      <c r="V177">
        <v>6.5635025966912496E-12</v>
      </c>
      <c r="W177">
        <v>5.7669766028993797E-12</v>
      </c>
      <c r="X177">
        <v>5.59523758420255E-12</v>
      </c>
      <c r="Y177">
        <v>4.9867449706653097E-12</v>
      </c>
      <c r="Z177">
        <v>4.8705435474403199E-12</v>
      </c>
      <c r="AA177">
        <v>4.3363694421714198E-12</v>
      </c>
      <c r="AB177">
        <v>3.8579317479161504E-12</v>
      </c>
      <c r="AC177">
        <v>3.76317802874837E-12</v>
      </c>
      <c r="AD177">
        <v>3.34943247435149E-12</v>
      </c>
      <c r="AE177">
        <v>2.9799821495544199E-12</v>
      </c>
      <c r="AF177">
        <v>2.65425404359121E-12</v>
      </c>
      <c r="AG177">
        <v>2.3650589137105302E-12</v>
      </c>
      <c r="AH177">
        <v>2.1083965330035401E-12</v>
      </c>
      <c r="AI177">
        <v>2.0590205749613202E-12</v>
      </c>
      <c r="AJ177">
        <v>1.8379222819930899E-12</v>
      </c>
      <c r="AK177">
        <v>1.64170852076495E-12</v>
      </c>
      <c r="AL177">
        <v>1.60773720563157E-12</v>
      </c>
      <c r="AM177">
        <v>1.4395647085620999E-12</v>
      </c>
      <c r="AN177">
        <v>1.4125919406069399E-12</v>
      </c>
      <c r="AO177">
        <v>1.2670385913224901E-12</v>
      </c>
      <c r="AP177">
        <v>1.1373944071237901E-12</v>
      </c>
      <c r="AQ177">
        <v>1.0216163718723701E-12</v>
      </c>
      <c r="AR177">
        <v>9.1835627245018305E-13</v>
      </c>
      <c r="AS177">
        <v>8.2610765093704696E-13</v>
      </c>
    </row>
    <row r="178" spans="1:45" hidden="1" x14ac:dyDescent="0.3">
      <c r="A178" t="s">
        <v>796</v>
      </c>
      <c r="B178" t="s">
        <v>682</v>
      </c>
      <c r="C178" t="s">
        <v>681</v>
      </c>
      <c r="D178" t="s">
        <v>680</v>
      </c>
      <c r="E178" t="s">
        <v>22</v>
      </c>
      <c r="F178">
        <v>-6.0138576514492303</v>
      </c>
      <c r="G178">
        <v>20.6123783506915</v>
      </c>
      <c r="H178">
        <v>999</v>
      </c>
      <c r="I178">
        <v>999</v>
      </c>
      <c r="J178">
        <v>0</v>
      </c>
      <c r="K178">
        <v>4.3655745685100597E-20</v>
      </c>
      <c r="L178">
        <v>2.16430727014085E-11</v>
      </c>
      <c r="M178">
        <v>1.9522816186508899E-11</v>
      </c>
      <c r="N178">
        <v>1.7090636880311601E-11</v>
      </c>
      <c r="O178">
        <v>1.45291126973461E-11</v>
      </c>
      <c r="P178">
        <v>1.2485251914768001E-11</v>
      </c>
      <c r="Q178">
        <v>1.08108803251525E-11</v>
      </c>
      <c r="R178">
        <v>9.4190586823970094E-12</v>
      </c>
      <c r="S178">
        <v>8.2584177434910096E-12</v>
      </c>
      <c r="T178">
        <v>7.3106857016682603E-12</v>
      </c>
      <c r="U178">
        <v>6.5358745123376103E-12</v>
      </c>
      <c r="V178">
        <v>6.0606269398704202E-12</v>
      </c>
      <c r="W178">
        <v>5.3007894312031596E-12</v>
      </c>
      <c r="X178">
        <v>5.1293223441462003E-12</v>
      </c>
      <c r="Y178">
        <v>4.5694444197579304E-12</v>
      </c>
      <c r="Z178">
        <v>4.4611552875721796E-12</v>
      </c>
      <c r="AA178">
        <v>3.9703677321085697E-12</v>
      </c>
      <c r="AB178">
        <v>3.5310238527017599E-12</v>
      </c>
      <c r="AC178">
        <v>3.4430705709382901E-12</v>
      </c>
      <c r="AD178">
        <v>3.0634253052994599E-12</v>
      </c>
      <c r="AE178">
        <v>2.7245396486250701E-12</v>
      </c>
      <c r="AF178">
        <v>2.42583423096221E-12</v>
      </c>
      <c r="AG178">
        <v>2.16069728048751E-12</v>
      </c>
      <c r="AH178">
        <v>1.9254413782618901E-12</v>
      </c>
      <c r="AI178">
        <v>1.8799565004883302E-12</v>
      </c>
      <c r="AJ178">
        <v>1.6780861915321999E-12</v>
      </c>
      <c r="AK178">
        <v>1.49893633351894E-12</v>
      </c>
      <c r="AL178">
        <v>1.4679192900075599E-12</v>
      </c>
      <c r="AM178">
        <v>1.31437206437113E-12</v>
      </c>
      <c r="AN178">
        <v>1.28974500694312E-12</v>
      </c>
      <c r="AO178">
        <v>1.1568497720873001E-12</v>
      </c>
      <c r="AP178">
        <v>1.0384801789768999E-12</v>
      </c>
      <c r="AQ178">
        <v>9.3277081759879394E-13</v>
      </c>
      <c r="AR178">
        <v>8.3849080692743897E-13</v>
      </c>
      <c r="AS178">
        <v>7.5426466355565899E-13</v>
      </c>
    </row>
    <row r="179" spans="1:45" hidden="1" x14ac:dyDescent="0.3">
      <c r="A179" t="s">
        <v>795</v>
      </c>
      <c r="B179" t="s">
        <v>686</v>
      </c>
      <c r="C179" t="s">
        <v>681</v>
      </c>
      <c r="D179" t="s">
        <v>680</v>
      </c>
      <c r="E179" t="s">
        <v>21</v>
      </c>
      <c r="F179">
        <v>-5.4977868399160101</v>
      </c>
      <c r="G179">
        <v>29.377062063179402</v>
      </c>
      <c r="H179">
        <v>44.761961541824697</v>
      </c>
      <c r="I179">
        <v>1101.0960798742999</v>
      </c>
      <c r="J179">
        <v>0.14457927565170001</v>
      </c>
      <c r="K179">
        <v>0.144567245136</v>
      </c>
      <c r="L179">
        <v>0.14245561951999999</v>
      </c>
      <c r="M179">
        <v>0.14109694179856999</v>
      </c>
      <c r="N179">
        <v>0.140008786847866</v>
      </c>
      <c r="O179">
        <v>0.13877231673972801</v>
      </c>
      <c r="P179">
        <v>0.13676844516707001</v>
      </c>
      <c r="Q179">
        <v>0.13493288357967401</v>
      </c>
      <c r="R179">
        <v>0.13333657441149799</v>
      </c>
      <c r="S179">
        <v>0.13247620587227801</v>
      </c>
      <c r="T179">
        <v>0.131391303047449</v>
      </c>
      <c r="U179">
        <v>0.130505648276626</v>
      </c>
      <c r="V179">
        <v>0.12984465105364801</v>
      </c>
      <c r="W179">
        <v>0.12938969590990301</v>
      </c>
      <c r="X179">
        <v>0.12941581621801199</v>
      </c>
      <c r="Y179">
        <v>0.12947224569284299</v>
      </c>
      <c r="Z179">
        <v>0.12956663757051701</v>
      </c>
      <c r="AA179">
        <v>0.12932991504444799</v>
      </c>
      <c r="AB179">
        <v>0.12969140288235001</v>
      </c>
      <c r="AC179">
        <v>0.130114815657418</v>
      </c>
      <c r="AD179">
        <v>0.13092718900588299</v>
      </c>
      <c r="AE179">
        <v>0.13197902216555699</v>
      </c>
      <c r="AF179">
        <v>0.13296868185549099</v>
      </c>
      <c r="AG179">
        <v>0.134141688490477</v>
      </c>
      <c r="AH179">
        <v>0.13547303467866101</v>
      </c>
      <c r="AI179">
        <v>0.13687589565557801</v>
      </c>
      <c r="AJ179">
        <v>0.13834480905818899</v>
      </c>
      <c r="AK179">
        <v>0.13987894858768399</v>
      </c>
      <c r="AL179">
        <v>0.141450982578087</v>
      </c>
      <c r="AM179">
        <v>0.143054926017567</v>
      </c>
      <c r="AN179">
        <v>0.14467815427192099</v>
      </c>
      <c r="AO179">
        <v>0.14634470238254299</v>
      </c>
      <c r="AP179">
        <v>0.14812164084340601</v>
      </c>
      <c r="AQ179">
        <v>0.149788241993771</v>
      </c>
      <c r="AR179">
        <v>0.151489630916256</v>
      </c>
      <c r="AS179">
        <v>0.15308762509937801</v>
      </c>
    </row>
    <row r="180" spans="1:45" hidden="1" x14ac:dyDescent="0.3">
      <c r="A180" t="s">
        <v>795</v>
      </c>
      <c r="B180" t="s">
        <v>685</v>
      </c>
      <c r="C180" t="s">
        <v>681</v>
      </c>
      <c r="D180" t="s">
        <v>680</v>
      </c>
      <c r="E180" t="s">
        <v>21</v>
      </c>
      <c r="F180">
        <v>-5.4977868399160101</v>
      </c>
      <c r="G180">
        <v>29.377062063179402</v>
      </c>
      <c r="H180">
        <v>44.761961541824697</v>
      </c>
      <c r="I180">
        <v>1101.0960798742999</v>
      </c>
      <c r="J180">
        <v>0.14457927565170001</v>
      </c>
      <c r="K180">
        <v>0.144567245136</v>
      </c>
      <c r="L180">
        <v>0.14088431785650099</v>
      </c>
      <c r="M180">
        <v>0.138089688875495</v>
      </c>
      <c r="N180">
        <v>0.13561299442879399</v>
      </c>
      <c r="O180">
        <v>0.13305694414696601</v>
      </c>
      <c r="P180">
        <v>0.129842541936462</v>
      </c>
      <c r="Q180">
        <v>0.12686683309269101</v>
      </c>
      <c r="R180">
        <v>0.124190557841273</v>
      </c>
      <c r="S180">
        <v>0.122261510267347</v>
      </c>
      <c r="T180">
        <v>0.120178155895504</v>
      </c>
      <c r="U180">
        <v>0.118330708633701</v>
      </c>
      <c r="V180">
        <v>0.116734866199765</v>
      </c>
      <c r="W180">
        <v>0.115365927307258</v>
      </c>
      <c r="X180">
        <v>0.114460401629601</v>
      </c>
      <c r="Y180">
        <v>0.113611685790378</v>
      </c>
      <c r="Z180">
        <v>0.112825810886794</v>
      </c>
      <c r="AA180">
        <v>0.112317238450168</v>
      </c>
      <c r="AB180">
        <v>0.11261486983706601</v>
      </c>
      <c r="AC180">
        <v>0.112966500295235</v>
      </c>
      <c r="AD180">
        <v>0.11365602823637</v>
      </c>
      <c r="AE180">
        <v>0.114553593674946</v>
      </c>
      <c r="AF180">
        <v>0.11539731299869301</v>
      </c>
      <c r="AG180">
        <v>0.11640024883613601</v>
      </c>
      <c r="AH180">
        <v>0.117540647793471</v>
      </c>
      <c r="AI180">
        <v>0.118743110229627</v>
      </c>
      <c r="AJ180">
        <v>0.12000287779141</v>
      </c>
      <c r="AK180">
        <v>0.12131921950640499</v>
      </c>
      <c r="AL180">
        <v>0.12266840707585901</v>
      </c>
      <c r="AM180">
        <v>0.124045241451144</v>
      </c>
      <c r="AN180">
        <v>0.12543877770077799</v>
      </c>
      <c r="AO180">
        <v>0.12686985837685599</v>
      </c>
      <c r="AP180">
        <v>0.12840543374651001</v>
      </c>
      <c r="AQ180">
        <v>0.12985019659396899</v>
      </c>
      <c r="AR180">
        <v>0.13132511667532401</v>
      </c>
      <c r="AS180">
        <v>0.13271040470643</v>
      </c>
    </row>
    <row r="181" spans="1:45" hidden="1" x14ac:dyDescent="0.3">
      <c r="A181" t="s">
        <v>795</v>
      </c>
      <c r="B181" t="s">
        <v>684</v>
      </c>
      <c r="C181" t="s">
        <v>681</v>
      </c>
      <c r="D181" t="s">
        <v>680</v>
      </c>
      <c r="E181" t="s">
        <v>21</v>
      </c>
      <c r="F181">
        <v>-5.4977868399160101</v>
      </c>
      <c r="G181">
        <v>29.377062063179402</v>
      </c>
      <c r="H181">
        <v>238.82750328218799</v>
      </c>
      <c r="I181">
        <v>5874.8995480117401</v>
      </c>
      <c r="J181">
        <v>-1.49011611938477E-17</v>
      </c>
      <c r="K181">
        <v>-1.4435499906539901E-17</v>
      </c>
      <c r="L181">
        <v>2.9963988359816701E-3</v>
      </c>
      <c r="M181">
        <v>5.6296443725913801E-3</v>
      </c>
      <c r="N181">
        <v>7.9935178539442507E-3</v>
      </c>
      <c r="O181">
        <v>9.8493483867700092E-3</v>
      </c>
      <c r="P181">
        <v>1.1430026514587801E-2</v>
      </c>
      <c r="Q181">
        <v>1.28228601622689E-2</v>
      </c>
      <c r="R181">
        <v>1.40579220231127E-2</v>
      </c>
      <c r="S181">
        <v>1.5221554780074999E-2</v>
      </c>
      <c r="T181">
        <v>1.6234749662496099E-2</v>
      </c>
      <c r="U181">
        <v>1.7153593439640999E-2</v>
      </c>
      <c r="V181">
        <v>1.79948659283172E-2</v>
      </c>
      <c r="W181">
        <v>1.8773240553617499E-2</v>
      </c>
      <c r="X181">
        <v>1.95435503048648E-2</v>
      </c>
      <c r="Y181">
        <v>1.9893050850573801E-2</v>
      </c>
      <c r="Z181">
        <v>2.0045449781152299E-2</v>
      </c>
      <c r="AA181">
        <v>2.0665668624183901E-2</v>
      </c>
      <c r="AB181">
        <v>2.1325625060993302E-2</v>
      </c>
      <c r="AC181">
        <v>2.1948358187975501E-2</v>
      </c>
      <c r="AD181">
        <v>2.2593980445709899E-2</v>
      </c>
      <c r="AE181">
        <v>2.3243715121389001E-2</v>
      </c>
      <c r="AF181">
        <v>2.3850552016978301E-2</v>
      </c>
      <c r="AG181">
        <v>2.4460156698329499E-2</v>
      </c>
      <c r="AH181">
        <v>2.50712528527453E-2</v>
      </c>
      <c r="AI181">
        <v>2.5670620445665499E-2</v>
      </c>
      <c r="AJ181">
        <v>2.6264135239451199E-2</v>
      </c>
      <c r="AK181">
        <v>2.6850484391690702E-2</v>
      </c>
      <c r="AL181">
        <v>2.7427221180008499E-2</v>
      </c>
      <c r="AM181">
        <v>2.7994858541920201E-2</v>
      </c>
      <c r="AN181">
        <v>2.83620347506475E-2</v>
      </c>
      <c r="AO181">
        <v>2.8931472557460002E-2</v>
      </c>
      <c r="AP181">
        <v>2.9510591397262399E-2</v>
      </c>
      <c r="AQ181">
        <v>3.0055929098536001E-2</v>
      </c>
      <c r="AR181">
        <v>3.05927273904361E-2</v>
      </c>
      <c r="AS181">
        <v>3.1094554560554499E-2</v>
      </c>
    </row>
    <row r="182" spans="1:45" hidden="1" x14ac:dyDescent="0.3">
      <c r="A182" t="s">
        <v>795</v>
      </c>
      <c r="B182" t="s">
        <v>682</v>
      </c>
      <c r="C182" t="s">
        <v>681</v>
      </c>
      <c r="D182" t="s">
        <v>680</v>
      </c>
      <c r="E182" t="s">
        <v>21</v>
      </c>
      <c r="F182">
        <v>-5.4977868399160101</v>
      </c>
      <c r="G182">
        <v>29.377062063179402</v>
      </c>
      <c r="H182">
        <v>238.82750328218799</v>
      </c>
      <c r="I182">
        <v>5874.8995480117401</v>
      </c>
      <c r="J182">
        <v>-1.49011611938477E-17</v>
      </c>
      <c r="K182">
        <v>-1.4435499906539901E-17</v>
      </c>
      <c r="L182">
        <v>2.9358236621153202E-3</v>
      </c>
      <c r="M182">
        <v>5.4458054223465802E-3</v>
      </c>
      <c r="N182">
        <v>7.6505911048571299E-3</v>
      </c>
      <c r="O182">
        <v>9.3374143281257805E-3</v>
      </c>
      <c r="P182">
        <v>1.07404828165112E-2</v>
      </c>
      <c r="Q182">
        <v>1.1947901193212899E-2</v>
      </c>
      <c r="R182">
        <v>1.2992513399082899E-2</v>
      </c>
      <c r="S182">
        <v>1.39570077578044E-2</v>
      </c>
      <c r="T182">
        <v>1.47709374876133E-2</v>
      </c>
      <c r="U182">
        <v>1.5488907935436501E-2</v>
      </c>
      <c r="V182">
        <v>1.61280897443964E-2</v>
      </c>
      <c r="W182">
        <v>1.6703132072151801E-2</v>
      </c>
      <c r="X182">
        <v>1.7263831528014102E-2</v>
      </c>
      <c r="Y182">
        <v>1.74481373560425E-2</v>
      </c>
      <c r="Z182">
        <v>1.7461575773742001E-2</v>
      </c>
      <c r="AA182">
        <v>1.7957630427882301E-2</v>
      </c>
      <c r="AB182">
        <v>1.8526490014707402E-2</v>
      </c>
      <c r="AC182">
        <v>1.9063123747307401E-2</v>
      </c>
      <c r="AD182">
        <v>1.9619731303453299E-2</v>
      </c>
      <c r="AE182">
        <v>2.0179986527751499E-2</v>
      </c>
      <c r="AF182">
        <v>2.0703055801144999E-2</v>
      </c>
      <c r="AG182">
        <v>2.1228573669879101E-2</v>
      </c>
      <c r="AH182">
        <v>2.1755419224795802E-2</v>
      </c>
      <c r="AI182">
        <v>2.2272104643557299E-2</v>
      </c>
      <c r="AJ182">
        <v>2.2783723443380099E-2</v>
      </c>
      <c r="AK182">
        <v>2.32891320513317E-2</v>
      </c>
      <c r="AL182">
        <v>2.3786202808370498E-2</v>
      </c>
      <c r="AM182">
        <v>2.4275378242147299E-2</v>
      </c>
      <c r="AN182">
        <v>2.4590766856035898E-2</v>
      </c>
      <c r="AO182">
        <v>2.5081491612257499E-2</v>
      </c>
      <c r="AP182">
        <v>2.5582489276415699E-2</v>
      </c>
      <c r="AQ182">
        <v>2.6055238050137399E-2</v>
      </c>
      <c r="AR182">
        <v>2.6520584080017499E-2</v>
      </c>
      <c r="AS182">
        <v>2.6955613931684899E-2</v>
      </c>
    </row>
    <row r="183" spans="1:45" hidden="1" x14ac:dyDescent="0.3">
      <c r="A183" t="s">
        <v>794</v>
      </c>
      <c r="B183" t="s">
        <v>686</v>
      </c>
      <c r="C183" t="s">
        <v>681</v>
      </c>
      <c r="D183" t="s">
        <v>680</v>
      </c>
      <c r="E183" t="s">
        <v>22</v>
      </c>
      <c r="F183">
        <v>20.415345607687701</v>
      </c>
      <c r="G183">
        <v>0</v>
      </c>
      <c r="H183">
        <v>999</v>
      </c>
      <c r="I183">
        <v>999</v>
      </c>
      <c r="J183">
        <v>0.1141716042524</v>
      </c>
      <c r="K183">
        <v>0.1123541622432</v>
      </c>
      <c r="L183">
        <v>0.11092353649809999</v>
      </c>
      <c r="M183">
        <v>0.1107798461882</v>
      </c>
      <c r="N183">
        <v>0.11097512410469999</v>
      </c>
      <c r="O183">
        <v>0.1107830268561</v>
      </c>
      <c r="P183">
        <v>0.1104975271623</v>
      </c>
      <c r="Q183">
        <v>0.11036766747020001</v>
      </c>
      <c r="R183">
        <v>0.1104035249279</v>
      </c>
      <c r="S183">
        <v>0.110597295055</v>
      </c>
      <c r="T183">
        <v>0.1110324105873</v>
      </c>
      <c r="U183">
        <v>0.1117440376137</v>
      </c>
      <c r="V183">
        <v>0.11268692688119999</v>
      </c>
      <c r="W183">
        <v>0.11382120650579999</v>
      </c>
      <c r="X183">
        <v>0.1151376803855</v>
      </c>
      <c r="Y183">
        <v>0.1166722550088</v>
      </c>
      <c r="Z183">
        <v>0.1182042969322</v>
      </c>
      <c r="AA183">
        <v>0.1196094771237</v>
      </c>
      <c r="AB183">
        <v>0.1209693132617</v>
      </c>
      <c r="AC183">
        <v>0.12235099873620001</v>
      </c>
      <c r="AD183">
        <v>0.1237488502231</v>
      </c>
      <c r="AE183">
        <v>0.12508811431889999</v>
      </c>
      <c r="AF183">
        <v>0.12638855441890001</v>
      </c>
      <c r="AG183">
        <v>0.12768835790300001</v>
      </c>
      <c r="AH183">
        <v>0.1289688798093</v>
      </c>
      <c r="AI183">
        <v>0.13024377865190001</v>
      </c>
      <c r="AJ183">
        <v>0.13155626124719999</v>
      </c>
      <c r="AK183">
        <v>0.1328732741509</v>
      </c>
      <c r="AL183">
        <v>0.13422141264820001</v>
      </c>
      <c r="AM183">
        <v>0.1356342023546</v>
      </c>
      <c r="AN183">
        <v>0.13711610135659999</v>
      </c>
      <c r="AO183">
        <v>0.1386664322118</v>
      </c>
      <c r="AP183">
        <v>0.1402578120289</v>
      </c>
      <c r="AQ183">
        <v>0.1418388232691</v>
      </c>
      <c r="AR183">
        <v>0.14339112650159999</v>
      </c>
      <c r="AS183">
        <v>0.14496366097300001</v>
      </c>
    </row>
    <row r="184" spans="1:45" hidden="1" x14ac:dyDescent="0.3">
      <c r="A184" t="s">
        <v>794</v>
      </c>
      <c r="B184" t="s">
        <v>685</v>
      </c>
      <c r="C184" t="s">
        <v>681</v>
      </c>
      <c r="D184" t="s">
        <v>680</v>
      </c>
      <c r="E184" t="s">
        <v>22</v>
      </c>
      <c r="F184">
        <v>20.415345607687701</v>
      </c>
      <c r="G184">
        <v>0</v>
      </c>
      <c r="H184">
        <v>999</v>
      </c>
      <c r="I184">
        <v>999</v>
      </c>
      <c r="J184">
        <v>0.1141716042524</v>
      </c>
      <c r="K184">
        <v>0.1123541622432</v>
      </c>
      <c r="L184">
        <v>0.12161640742277099</v>
      </c>
      <c r="M184">
        <v>0.13083797111952999</v>
      </c>
      <c r="N184">
        <v>0.13998992749581901</v>
      </c>
      <c r="O184">
        <v>0.148013126103828</v>
      </c>
      <c r="P184">
        <v>0.15477321776799499</v>
      </c>
      <c r="Q184">
        <v>0.16114302243544101</v>
      </c>
      <c r="R184">
        <v>0.16735688138979901</v>
      </c>
      <c r="S184">
        <v>0.17394059538283099</v>
      </c>
      <c r="T184">
        <v>0.18014860209697001</v>
      </c>
      <c r="U184">
        <v>0.18656983838482899</v>
      </c>
      <c r="V184">
        <v>0.19326790343396999</v>
      </c>
      <c r="W184">
        <v>0.200216461451203</v>
      </c>
      <c r="X184">
        <v>0.20511537750995301</v>
      </c>
      <c r="Y184">
        <v>0.20728649448476399</v>
      </c>
      <c r="Z184">
        <v>0.209239571012619</v>
      </c>
      <c r="AA184">
        <v>0.21027154379014201</v>
      </c>
      <c r="AB184">
        <v>0.21192119359964401</v>
      </c>
      <c r="AC184">
        <v>0.21340574519181099</v>
      </c>
      <c r="AD184">
        <v>0.21529179046024</v>
      </c>
      <c r="AE184">
        <v>0.21728089748363599</v>
      </c>
      <c r="AF184">
        <v>0.21890608866254699</v>
      </c>
      <c r="AG184">
        <v>0.220638210468662</v>
      </c>
      <c r="AH184">
        <v>0.22244735009857899</v>
      </c>
      <c r="AI184">
        <v>0.22412486832619199</v>
      </c>
      <c r="AJ184">
        <v>0.22574034364561099</v>
      </c>
      <c r="AK184">
        <v>0.22730870852471399</v>
      </c>
      <c r="AL184">
        <v>0.22898650013623401</v>
      </c>
      <c r="AM184">
        <v>0.230797729274314</v>
      </c>
      <c r="AN184">
        <v>0.232728683763231</v>
      </c>
      <c r="AO184">
        <v>0.23483693521854501</v>
      </c>
      <c r="AP184">
        <v>0.23720478140672999</v>
      </c>
      <c r="AQ184">
        <v>0.23943077380047501</v>
      </c>
      <c r="AR184">
        <v>0.24171252100242099</v>
      </c>
      <c r="AS184">
        <v>0.24390399882862801</v>
      </c>
    </row>
    <row r="185" spans="1:45" hidden="1" x14ac:dyDescent="0.3">
      <c r="A185" t="s">
        <v>794</v>
      </c>
      <c r="B185" t="s">
        <v>684</v>
      </c>
      <c r="C185" t="s">
        <v>681</v>
      </c>
      <c r="D185" t="s">
        <v>680</v>
      </c>
      <c r="E185" t="s">
        <v>22</v>
      </c>
      <c r="F185">
        <v>20.415345607687701</v>
      </c>
      <c r="G185">
        <v>0</v>
      </c>
      <c r="H185">
        <v>999</v>
      </c>
      <c r="I185">
        <v>999</v>
      </c>
      <c r="J185">
        <v>-3.7252902984619097E-18</v>
      </c>
      <c r="K185">
        <v>-8.7165972217917397E-18</v>
      </c>
      <c r="L185">
        <v>5.4906459543133798E-3</v>
      </c>
      <c r="M185">
        <v>1.21378080028297E-2</v>
      </c>
      <c r="N185">
        <v>1.8600472549509001E-2</v>
      </c>
      <c r="O185">
        <v>1.6953660635698399E-2</v>
      </c>
      <c r="P185">
        <v>1.54656046864143E-2</v>
      </c>
      <c r="Q185">
        <v>1.4149568228057199E-2</v>
      </c>
      <c r="R185">
        <v>1.29882964616838E-2</v>
      </c>
      <c r="S185">
        <v>1.19606274197036E-2</v>
      </c>
      <c r="T185">
        <v>1.1055196445694601E-2</v>
      </c>
      <c r="U185">
        <v>1.0263892100097699E-2</v>
      </c>
      <c r="V185">
        <v>9.8763967725883205E-3</v>
      </c>
      <c r="W185">
        <v>8.9570246586886601E-3</v>
      </c>
      <c r="X185">
        <v>8.1392534372093997E-3</v>
      </c>
      <c r="Y185">
        <v>7.3987540498772798E-3</v>
      </c>
      <c r="Z185">
        <v>6.7268761436327096E-3</v>
      </c>
      <c r="AA185">
        <v>6.1092486942712198E-3</v>
      </c>
      <c r="AB185">
        <v>5.5443047310148501E-3</v>
      </c>
      <c r="AC185">
        <v>5.0606709810792298E-3</v>
      </c>
      <c r="AD185">
        <v>4.5921085306971296E-3</v>
      </c>
      <c r="AE185">
        <v>4.16601236160964E-3</v>
      </c>
      <c r="AF185">
        <v>3.7787287660163899E-3</v>
      </c>
      <c r="AG185">
        <v>3.4277297130008498E-3</v>
      </c>
      <c r="AH185">
        <v>3.1094343159369102E-3</v>
      </c>
      <c r="AI185">
        <v>2.8219508485684101E-3</v>
      </c>
      <c r="AJ185">
        <v>2.5602414189482298E-3</v>
      </c>
      <c r="AK185">
        <v>2.3230186511165301E-3</v>
      </c>
      <c r="AL185">
        <v>2.1091748199212001E-3</v>
      </c>
      <c r="AM185">
        <v>1.9143717106147901E-3</v>
      </c>
      <c r="AN185">
        <v>1.738972240723E-3</v>
      </c>
      <c r="AO185">
        <v>1.5791547617304399E-3</v>
      </c>
      <c r="AP185">
        <v>1.4406611540928201E-3</v>
      </c>
      <c r="AQ185">
        <v>1.30835746541968E-3</v>
      </c>
      <c r="AR185">
        <v>1.19459504303481E-3</v>
      </c>
      <c r="AS185">
        <v>1.0863257026060499E-3</v>
      </c>
    </row>
    <row r="186" spans="1:45" hidden="1" x14ac:dyDescent="0.3">
      <c r="A186" t="s">
        <v>794</v>
      </c>
      <c r="B186" t="s">
        <v>682</v>
      </c>
      <c r="C186" t="s">
        <v>681</v>
      </c>
      <c r="D186" t="s">
        <v>680</v>
      </c>
      <c r="E186" t="s">
        <v>22</v>
      </c>
      <c r="F186">
        <v>20.415345607687701</v>
      </c>
      <c r="G186">
        <v>0</v>
      </c>
      <c r="H186">
        <v>999</v>
      </c>
      <c r="I186">
        <v>999</v>
      </c>
      <c r="J186">
        <v>-3.7252902984619097E-18</v>
      </c>
      <c r="K186">
        <v>-8.7165972217917397E-18</v>
      </c>
      <c r="L186">
        <v>6.2951736491847297E-3</v>
      </c>
      <c r="M186">
        <v>1.50490062344619E-2</v>
      </c>
      <c r="N186">
        <v>2.4514170354421601E-2</v>
      </c>
      <c r="O186">
        <v>2.3526768072581701E-2</v>
      </c>
      <c r="P186">
        <v>2.2361923863160701E-2</v>
      </c>
      <c r="Q186">
        <v>2.12064186192653E-2</v>
      </c>
      <c r="R186">
        <v>2.0107698644824298E-2</v>
      </c>
      <c r="S186">
        <v>1.9122651809183999E-2</v>
      </c>
      <c r="T186">
        <v>1.8151349849630599E-2</v>
      </c>
      <c r="U186">
        <v>1.72642491574376E-2</v>
      </c>
      <c r="V186">
        <v>1.6983881608478201E-2</v>
      </c>
      <c r="W186">
        <v>1.5732902562598901E-2</v>
      </c>
      <c r="X186">
        <v>1.44626275205365E-2</v>
      </c>
      <c r="Y186">
        <v>1.31201509529858E-2</v>
      </c>
      <c r="Z186">
        <v>1.1891276757104901E-2</v>
      </c>
      <c r="AA186">
        <v>1.07295723960605E-2</v>
      </c>
      <c r="AB186">
        <v>9.7063939926410707E-3</v>
      </c>
      <c r="AC186">
        <v>8.8227963842411206E-3</v>
      </c>
      <c r="AD186">
        <v>7.9868112608122294E-3</v>
      </c>
      <c r="AE186">
        <v>7.2352645830693601E-3</v>
      </c>
      <c r="AF186">
        <v>6.5442586141388603E-3</v>
      </c>
      <c r="AG186">
        <v>5.9227441043505497E-3</v>
      </c>
      <c r="AH186">
        <v>5.3631716875377402E-3</v>
      </c>
      <c r="AI186">
        <v>4.8560427907176004E-3</v>
      </c>
      <c r="AJ186">
        <v>4.3931757580363004E-3</v>
      </c>
      <c r="AK186">
        <v>3.9740299382134596E-3</v>
      </c>
      <c r="AL186">
        <v>3.59832720174918E-3</v>
      </c>
      <c r="AM186">
        <v>3.2575311840722398E-3</v>
      </c>
      <c r="AN186">
        <v>2.9515769240821702E-3</v>
      </c>
      <c r="AO186">
        <v>2.6743593136810701E-3</v>
      </c>
      <c r="AP186">
        <v>2.4364540498275299E-3</v>
      </c>
      <c r="AQ186">
        <v>2.2085704966597701E-3</v>
      </c>
      <c r="AR186">
        <v>2.0137130272542499E-3</v>
      </c>
      <c r="AS186">
        <v>1.8277627725288401E-3</v>
      </c>
    </row>
    <row r="187" spans="1:45" hidden="1" x14ac:dyDescent="0.3">
      <c r="A187" t="s">
        <v>793</v>
      </c>
      <c r="B187" t="s">
        <v>686</v>
      </c>
      <c r="C187" t="s">
        <v>681</v>
      </c>
      <c r="D187" t="s">
        <v>680</v>
      </c>
      <c r="E187" t="s">
        <v>679</v>
      </c>
      <c r="F187">
        <v>-8.9785580767394002</v>
      </c>
      <c r="G187">
        <v>999</v>
      </c>
      <c r="H187">
        <v>140.23652992921001</v>
      </c>
      <c r="I187">
        <v>3094.07473990776</v>
      </c>
      <c r="J187">
        <v>0.315986919709904</v>
      </c>
      <c r="K187">
        <v>0.291163334008541</v>
      </c>
      <c r="L187">
        <v>0.267188994927816</v>
      </c>
      <c r="M187">
        <v>0.34770571610267398</v>
      </c>
      <c r="N187">
        <v>0.32198132387279299</v>
      </c>
      <c r="O187">
        <v>0.31902411776162898</v>
      </c>
      <c r="P187">
        <v>0.31770971590427999</v>
      </c>
      <c r="Q187">
        <v>0.31615304066407102</v>
      </c>
      <c r="R187">
        <v>0.31440941363294</v>
      </c>
      <c r="S187">
        <v>0.313177547152312</v>
      </c>
      <c r="T187">
        <v>0.311146241612207</v>
      </c>
      <c r="U187">
        <v>0.30933538238452402</v>
      </c>
      <c r="V187">
        <v>0.30828211283136597</v>
      </c>
      <c r="W187">
        <v>0.30763774388281501</v>
      </c>
      <c r="X187">
        <v>0.30786881289816098</v>
      </c>
      <c r="Y187">
        <v>0.308005589557591</v>
      </c>
      <c r="Z187">
        <v>0.30806427734511999</v>
      </c>
      <c r="AA187">
        <v>0.307391114650441</v>
      </c>
      <c r="AB187">
        <v>0.30735611614504199</v>
      </c>
      <c r="AC187">
        <v>0.30753741675506002</v>
      </c>
      <c r="AD187">
        <v>0.308202278194942</v>
      </c>
      <c r="AE187">
        <v>0.30897791728277602</v>
      </c>
      <c r="AF187">
        <v>0.30963018044679502</v>
      </c>
      <c r="AG187">
        <v>0.31036132970872099</v>
      </c>
      <c r="AH187">
        <v>0.31124014776643599</v>
      </c>
      <c r="AI187">
        <v>0.31225610326020597</v>
      </c>
      <c r="AJ187">
        <v>0.31296290282943101</v>
      </c>
      <c r="AK187">
        <v>0.31389777603182401</v>
      </c>
      <c r="AL187">
        <v>0.31486224566890397</v>
      </c>
      <c r="AM187">
        <v>0.31588515518765697</v>
      </c>
      <c r="AN187">
        <v>0.31684025273614003</v>
      </c>
      <c r="AO187">
        <v>0.31787878562614102</v>
      </c>
      <c r="AP187">
        <v>0.318840579507571</v>
      </c>
      <c r="AQ187">
        <v>0.31966698981678798</v>
      </c>
      <c r="AR187">
        <v>0.32062184550515499</v>
      </c>
      <c r="AS187">
        <v>0.32167140171728098</v>
      </c>
    </row>
    <row r="188" spans="1:45" hidden="1" x14ac:dyDescent="0.3">
      <c r="A188" t="s">
        <v>793</v>
      </c>
      <c r="B188" t="s">
        <v>685</v>
      </c>
      <c r="C188" t="s">
        <v>681</v>
      </c>
      <c r="D188" t="s">
        <v>680</v>
      </c>
      <c r="E188" t="s">
        <v>679</v>
      </c>
      <c r="F188">
        <v>-8.9785580767394002</v>
      </c>
      <c r="G188">
        <v>999</v>
      </c>
      <c r="H188">
        <v>140.23652992921001</v>
      </c>
      <c r="I188">
        <v>3094.07473990776</v>
      </c>
      <c r="J188">
        <v>0.315986919709904</v>
      </c>
      <c r="K188">
        <v>0.291163334008541</v>
      </c>
      <c r="L188">
        <v>0.25928305449210798</v>
      </c>
      <c r="M188">
        <v>0.327570920247857</v>
      </c>
      <c r="N188">
        <v>0.294394723784972</v>
      </c>
      <c r="O188">
        <v>0.28312180843842699</v>
      </c>
      <c r="P188">
        <v>0.27372937852718898</v>
      </c>
      <c r="Q188">
        <v>0.26450952452248599</v>
      </c>
      <c r="R188">
        <v>0.25553671308758902</v>
      </c>
      <c r="S188">
        <v>0.24735512380955599</v>
      </c>
      <c r="T188">
        <v>0.23891419219335799</v>
      </c>
      <c r="U188">
        <v>0.231047253637055</v>
      </c>
      <c r="V188">
        <v>0.22412082253455101</v>
      </c>
      <c r="W188">
        <v>0.21784632442503499</v>
      </c>
      <c r="X188">
        <v>0.21250192390825901</v>
      </c>
      <c r="Y188">
        <v>0.207356413458267</v>
      </c>
      <c r="Z188">
        <v>0.202456417277633</v>
      </c>
      <c r="AA188">
        <v>0.19739254699762901</v>
      </c>
      <c r="AB188">
        <v>0.19300753051310399</v>
      </c>
      <c r="AC188">
        <v>0.18903573080765501</v>
      </c>
      <c r="AD188">
        <v>0.18562350626924301</v>
      </c>
      <c r="AE188">
        <v>0.18250203708700199</v>
      </c>
      <c r="AF188">
        <v>0.17955308045870999</v>
      </c>
      <c r="AG188">
        <v>0.181075069510749</v>
      </c>
      <c r="AH188">
        <v>0.18269234658132599</v>
      </c>
      <c r="AI188">
        <v>0.184425138049992</v>
      </c>
      <c r="AJ188">
        <v>0.18594292660570599</v>
      </c>
      <c r="AK188">
        <v>0.18760054382654801</v>
      </c>
      <c r="AL188">
        <v>0.18930642048753801</v>
      </c>
      <c r="AM188">
        <v>0.19107227448285299</v>
      </c>
      <c r="AN188">
        <v>0.19279653594507601</v>
      </c>
      <c r="AO188">
        <v>0.19459530645402701</v>
      </c>
      <c r="AP188">
        <v>0.19636561931528401</v>
      </c>
      <c r="AQ188">
        <v>0.19804698237284701</v>
      </c>
      <c r="AR188">
        <v>0.199825169447538</v>
      </c>
      <c r="AS188">
        <v>0.20167564699374901</v>
      </c>
    </row>
    <row r="189" spans="1:45" hidden="1" x14ac:dyDescent="0.3">
      <c r="A189" t="s">
        <v>793</v>
      </c>
      <c r="B189" t="s">
        <v>684</v>
      </c>
      <c r="C189" t="s">
        <v>681</v>
      </c>
      <c r="D189" t="s">
        <v>680</v>
      </c>
      <c r="E189" t="s">
        <v>679</v>
      </c>
      <c r="F189">
        <v>-8.9785580767394002</v>
      </c>
      <c r="G189">
        <v>999</v>
      </c>
      <c r="H189">
        <v>413.65408818347902</v>
      </c>
      <c r="I189">
        <v>8874.9222945822003</v>
      </c>
      <c r="J189">
        <v>7.3113729545004294E-2</v>
      </c>
      <c r="K189">
        <v>6.5469599567492903E-2</v>
      </c>
      <c r="L189">
        <v>0.12241372092507601</v>
      </c>
      <c r="M189">
        <v>0.17149487717283399</v>
      </c>
      <c r="N189">
        <v>0.162004911505505</v>
      </c>
      <c r="O189">
        <v>0.15755612830446</v>
      </c>
      <c r="P189">
        <v>0.15293905834958399</v>
      </c>
      <c r="Q189">
        <v>0.14881474416551699</v>
      </c>
      <c r="R189">
        <v>0.14591455573652901</v>
      </c>
      <c r="S189">
        <v>0.143481631587287</v>
      </c>
      <c r="T189">
        <v>0.14153280152654299</v>
      </c>
      <c r="U189">
        <v>0.13940521450330901</v>
      </c>
      <c r="V189">
        <v>0.13746052764494701</v>
      </c>
      <c r="W189">
        <v>0.13552659551648299</v>
      </c>
      <c r="X189">
        <v>0.13379685665570001</v>
      </c>
      <c r="Y189">
        <v>0.13284819189737099</v>
      </c>
      <c r="Z189">
        <v>0.130104321277035</v>
      </c>
      <c r="AA189">
        <v>0.126450290573732</v>
      </c>
      <c r="AB189">
        <v>0.12264186228582399</v>
      </c>
      <c r="AC189">
        <v>0.118358620039828</v>
      </c>
      <c r="AD189">
        <v>0.113624294206374</v>
      </c>
      <c r="AE189">
        <v>0.108734030045571</v>
      </c>
      <c r="AF189">
        <v>0.103480274550277</v>
      </c>
      <c r="AG189">
        <v>9.6968954126940204E-2</v>
      </c>
      <c r="AH189">
        <v>9.1064024256175893E-2</v>
      </c>
      <c r="AI189">
        <v>8.5251078388295001E-2</v>
      </c>
      <c r="AJ189">
        <v>7.9714643489860404E-2</v>
      </c>
      <c r="AK189">
        <v>7.4420027638662595E-2</v>
      </c>
      <c r="AL189">
        <v>6.9428463683314595E-2</v>
      </c>
      <c r="AM189">
        <v>6.4658676868721301E-2</v>
      </c>
      <c r="AN189">
        <v>6.1723628187642397E-2</v>
      </c>
      <c r="AO189">
        <v>6.0035457515875801E-2</v>
      </c>
      <c r="AP189">
        <v>5.8368208139453301E-2</v>
      </c>
      <c r="AQ189">
        <v>5.6832517518210897E-2</v>
      </c>
      <c r="AR189">
        <v>5.5543985883794902E-2</v>
      </c>
      <c r="AS189">
        <v>5.4333587956486101E-2</v>
      </c>
    </row>
    <row r="190" spans="1:45" hidden="1" x14ac:dyDescent="0.3">
      <c r="A190" t="s">
        <v>793</v>
      </c>
      <c r="B190" t="s">
        <v>682</v>
      </c>
      <c r="C190" t="s">
        <v>681</v>
      </c>
      <c r="D190" t="s">
        <v>680</v>
      </c>
      <c r="E190" t="s">
        <v>679</v>
      </c>
      <c r="F190">
        <v>-8.9785580767394002</v>
      </c>
      <c r="G190">
        <v>999</v>
      </c>
      <c r="H190">
        <v>413.65408818347902</v>
      </c>
      <c r="I190">
        <v>8874.9222945822003</v>
      </c>
      <c r="J190">
        <v>7.3068447203345099E-2</v>
      </c>
      <c r="K190">
        <v>6.5371465752349298E-2</v>
      </c>
      <c r="L190">
        <v>0.118117194200119</v>
      </c>
      <c r="M190">
        <v>0.160279031206394</v>
      </c>
      <c r="N190">
        <v>0.146557695436731</v>
      </c>
      <c r="O190">
        <v>0.137604594332153</v>
      </c>
      <c r="P190">
        <v>0.12893924717335001</v>
      </c>
      <c r="Q190">
        <v>0.121095512475887</v>
      </c>
      <c r="R190">
        <v>0.114694013860002</v>
      </c>
      <c r="S190">
        <v>0.10896435698614799</v>
      </c>
      <c r="T190">
        <v>0.10395177103740399</v>
      </c>
      <c r="U190">
        <v>9.9051827940468906E-2</v>
      </c>
      <c r="V190">
        <v>9.4531441895039606E-2</v>
      </c>
      <c r="W190">
        <v>9.0261518417973294E-2</v>
      </c>
      <c r="X190">
        <v>8.63437736894411E-2</v>
      </c>
      <c r="Y190">
        <v>8.3198303171053603E-2</v>
      </c>
      <c r="Z190">
        <v>7.8963177601186499E-2</v>
      </c>
      <c r="AA190">
        <v>7.4385850612261897E-2</v>
      </c>
      <c r="AB190">
        <v>6.9932948414253904E-2</v>
      </c>
      <c r="AC190">
        <v>6.5420539225475097E-2</v>
      </c>
      <c r="AD190">
        <v>6.0862796072679901E-2</v>
      </c>
      <c r="AE190">
        <v>5.6451859244715498E-2</v>
      </c>
      <c r="AF190">
        <v>5.2065511824216801E-2</v>
      </c>
      <c r="AG190">
        <v>4.8418838898695998E-2</v>
      </c>
      <c r="AH190">
        <v>4.512401331246E-2</v>
      </c>
      <c r="AI190">
        <v>4.1913972601900697E-2</v>
      </c>
      <c r="AJ190">
        <v>3.8889683941699102E-2</v>
      </c>
      <c r="AK190">
        <v>3.6040558841715101E-2</v>
      </c>
      <c r="AL190">
        <v>3.3402923827371298E-2</v>
      </c>
      <c r="AM190">
        <v>3.09599324972826E-2</v>
      </c>
      <c r="AN190">
        <v>2.93978988493892E-2</v>
      </c>
      <c r="AO190">
        <v>2.8467281640486598E-2</v>
      </c>
      <c r="AP190">
        <v>2.7574787967407501E-2</v>
      </c>
      <c r="AQ190">
        <v>2.6771084740803499E-2</v>
      </c>
      <c r="AR190">
        <v>2.6194703770989199E-2</v>
      </c>
      <c r="AS190">
        <v>2.5705268035635099E-2</v>
      </c>
    </row>
    <row r="191" spans="1:45" hidden="1" x14ac:dyDescent="0.3">
      <c r="A191" t="s">
        <v>792</v>
      </c>
      <c r="B191" t="s">
        <v>686</v>
      </c>
      <c r="C191" t="s">
        <v>681</v>
      </c>
      <c r="D191" t="s">
        <v>680</v>
      </c>
      <c r="E191" t="s">
        <v>746</v>
      </c>
      <c r="F191">
        <v>-26.393010665720102</v>
      </c>
      <c r="G191">
        <v>77.367097000559497</v>
      </c>
      <c r="H191">
        <v>163.75738196738001</v>
      </c>
      <c r="I191">
        <v>4028.25535619729</v>
      </c>
      <c r="J191">
        <v>0.1025218832895</v>
      </c>
      <c r="K191">
        <v>0.1076353817955</v>
      </c>
      <c r="L191">
        <v>9.5839939482329606E-2</v>
      </c>
      <c r="M191">
        <v>0.104065592747976</v>
      </c>
      <c r="N191">
        <v>9.0305671174409199E-2</v>
      </c>
      <c r="O191">
        <v>9.8886112826449907E-2</v>
      </c>
      <c r="P191">
        <v>9.81298744110259E-2</v>
      </c>
      <c r="Q191">
        <v>9.7046674022383206E-2</v>
      </c>
      <c r="R191">
        <v>9.59825744509607E-2</v>
      </c>
      <c r="S191">
        <v>9.5022531717296799E-2</v>
      </c>
      <c r="T191">
        <v>9.3664865956937904E-2</v>
      </c>
      <c r="U191">
        <v>9.2550557859181301E-2</v>
      </c>
      <c r="V191">
        <v>9.1769504445409003E-2</v>
      </c>
      <c r="W191">
        <v>9.1252464558250701E-2</v>
      </c>
      <c r="X191">
        <v>9.1131314369585603E-2</v>
      </c>
      <c r="Y191">
        <v>9.0836964237472895E-2</v>
      </c>
      <c r="Z191">
        <v>9.0586637170656403E-2</v>
      </c>
      <c r="AA191">
        <v>9.0071451473684699E-2</v>
      </c>
      <c r="AB191">
        <v>8.9820606424879101E-2</v>
      </c>
      <c r="AC191">
        <v>8.9587010071225798E-2</v>
      </c>
      <c r="AD191">
        <v>8.9498519818200298E-2</v>
      </c>
      <c r="AE191">
        <v>8.9429873812259406E-2</v>
      </c>
      <c r="AF191">
        <v>8.9302263785432906E-2</v>
      </c>
      <c r="AG191">
        <v>8.92221334133729E-2</v>
      </c>
      <c r="AH191">
        <v>8.9248305506183498E-2</v>
      </c>
      <c r="AI191">
        <v>8.9299616915321706E-2</v>
      </c>
      <c r="AJ191">
        <v>8.9307618978777203E-2</v>
      </c>
      <c r="AK191">
        <v>8.9422307149572999E-2</v>
      </c>
      <c r="AL191">
        <v>8.9596310210935004E-2</v>
      </c>
      <c r="AM191">
        <v>8.9782853223269302E-2</v>
      </c>
      <c r="AN191">
        <v>8.9963636363622895E-2</v>
      </c>
      <c r="AO191">
        <v>9.0220503410771105E-2</v>
      </c>
      <c r="AP191">
        <v>9.0481416860236502E-2</v>
      </c>
      <c r="AQ191">
        <v>9.0657887160969397E-2</v>
      </c>
      <c r="AR191">
        <v>9.0962771491014602E-2</v>
      </c>
      <c r="AS191">
        <v>9.1333978753963097E-2</v>
      </c>
    </row>
    <row r="192" spans="1:45" hidden="1" x14ac:dyDescent="0.3">
      <c r="A192" t="s">
        <v>792</v>
      </c>
      <c r="B192" t="s">
        <v>685</v>
      </c>
      <c r="C192" t="s">
        <v>681</v>
      </c>
      <c r="D192" t="s">
        <v>680</v>
      </c>
      <c r="E192" t="s">
        <v>746</v>
      </c>
      <c r="F192">
        <v>-26.393010665720102</v>
      </c>
      <c r="G192">
        <v>77.367097000559497</v>
      </c>
      <c r="H192">
        <v>163.75738196738001</v>
      </c>
      <c r="I192">
        <v>4028.25535619729</v>
      </c>
      <c r="J192">
        <v>0.1025218832895</v>
      </c>
      <c r="K192">
        <v>0.1076353817955</v>
      </c>
      <c r="L192">
        <v>9.5559102428577306E-2</v>
      </c>
      <c r="M192">
        <v>0.103491806330054</v>
      </c>
      <c r="N192">
        <v>8.9580153110757801E-2</v>
      </c>
      <c r="O192">
        <v>9.7850826263340906E-2</v>
      </c>
      <c r="P192">
        <v>9.6872096221924303E-2</v>
      </c>
      <c r="Q192">
        <v>9.5583095094581197E-2</v>
      </c>
      <c r="R192">
        <v>9.4325806335102305E-2</v>
      </c>
      <c r="S192">
        <v>9.31827004594563E-2</v>
      </c>
      <c r="T192">
        <v>9.1661257168323601E-2</v>
      </c>
      <c r="U192">
        <v>9.0444466710649402E-2</v>
      </c>
      <c r="V192">
        <v>8.9677661042746701E-2</v>
      </c>
      <c r="W192">
        <v>8.9168877756528694E-2</v>
      </c>
      <c r="X192">
        <v>8.9046948762084896E-2</v>
      </c>
      <c r="Y192">
        <v>8.89675420948704E-2</v>
      </c>
      <c r="Z192">
        <v>8.8906331701422606E-2</v>
      </c>
      <c r="AA192">
        <v>8.8562764275123607E-2</v>
      </c>
      <c r="AB192">
        <v>8.8459299230069594E-2</v>
      </c>
      <c r="AC192">
        <v>8.8356441417054801E-2</v>
      </c>
      <c r="AD192">
        <v>8.8382983217045602E-2</v>
      </c>
      <c r="AE192">
        <v>8.8415813294343698E-2</v>
      </c>
      <c r="AF192">
        <v>8.8378545857213706E-2</v>
      </c>
      <c r="AG192">
        <v>8.8377822970718001E-2</v>
      </c>
      <c r="AH192">
        <v>8.8473289206819503E-2</v>
      </c>
      <c r="AI192">
        <v>8.8795209164786795E-2</v>
      </c>
      <c r="AJ192">
        <v>8.9042999091173206E-2</v>
      </c>
      <c r="AK192">
        <v>8.9369809077141496E-2</v>
      </c>
      <c r="AL192">
        <v>8.9732048391400698E-2</v>
      </c>
      <c r="AM192">
        <v>9.0085850873085294E-2</v>
      </c>
      <c r="AN192">
        <v>9.0415272158971993E-2</v>
      </c>
      <c r="AO192">
        <v>9.0804768531095204E-2</v>
      </c>
      <c r="AP192">
        <v>9.1183908855996296E-2</v>
      </c>
      <c r="AQ192">
        <v>9.1465055112778998E-2</v>
      </c>
      <c r="AR192">
        <v>9.1864359833262202E-2</v>
      </c>
      <c r="AS192">
        <v>9.2320713025034307E-2</v>
      </c>
    </row>
    <row r="193" spans="1:45" hidden="1" x14ac:dyDescent="0.3">
      <c r="A193" t="s">
        <v>792</v>
      </c>
      <c r="B193" t="s">
        <v>684</v>
      </c>
      <c r="C193" t="s">
        <v>681</v>
      </c>
      <c r="D193" t="s">
        <v>680</v>
      </c>
      <c r="E193" t="s">
        <v>746</v>
      </c>
      <c r="F193">
        <v>-26.393010665720102</v>
      </c>
      <c r="G193">
        <v>77.367097000559497</v>
      </c>
      <c r="H193">
        <v>64.809112552252301</v>
      </c>
      <c r="I193">
        <v>1594.23441943535</v>
      </c>
      <c r="J193">
        <v>0</v>
      </c>
      <c r="K193">
        <v>-4.19095158576965E-18</v>
      </c>
      <c r="L193">
        <v>2.43066136187045E-3</v>
      </c>
      <c r="M193">
        <v>4.66380357701799E-3</v>
      </c>
      <c r="N193">
        <v>5.6374157552590998E-3</v>
      </c>
      <c r="O193">
        <v>7.7988807794526303E-3</v>
      </c>
      <c r="P193">
        <v>9.2925764109929709E-3</v>
      </c>
      <c r="Q193">
        <v>1.0642994872799299E-2</v>
      </c>
      <c r="R193">
        <v>1.17023993210387E-2</v>
      </c>
      <c r="S193">
        <v>1.31718737989553E-2</v>
      </c>
      <c r="T193">
        <v>1.3836871338260601E-2</v>
      </c>
      <c r="U193">
        <v>1.44879714768018E-2</v>
      </c>
      <c r="V193">
        <v>1.51483295596776E-2</v>
      </c>
      <c r="W193">
        <v>1.5831546024714298E-2</v>
      </c>
      <c r="X193">
        <v>1.66054603983826E-2</v>
      </c>
      <c r="Y193">
        <v>1.6290343264606901E-2</v>
      </c>
      <c r="Z193">
        <v>1.6561671783891601E-2</v>
      </c>
      <c r="AA193">
        <v>1.6956314551641899E-2</v>
      </c>
      <c r="AB193">
        <v>1.7570856629561801E-2</v>
      </c>
      <c r="AC193">
        <v>1.8378558441154502E-2</v>
      </c>
      <c r="AD193">
        <v>1.93921072578979E-2</v>
      </c>
      <c r="AE193">
        <v>2.04504098012342E-2</v>
      </c>
      <c r="AF193">
        <v>2.1521057090520702E-2</v>
      </c>
      <c r="AG193">
        <v>2.28623520541637E-2</v>
      </c>
      <c r="AH193">
        <v>2.4088411786346201E-2</v>
      </c>
      <c r="AI193">
        <v>2.5282670551445698E-2</v>
      </c>
      <c r="AJ193">
        <v>2.6315177793991201E-2</v>
      </c>
      <c r="AK193">
        <v>2.7274954425260501E-2</v>
      </c>
      <c r="AL193">
        <v>2.81859033164303E-2</v>
      </c>
      <c r="AM193">
        <v>2.9030320254915198E-2</v>
      </c>
      <c r="AN193">
        <v>2.9368875881791E-2</v>
      </c>
      <c r="AO193">
        <v>2.9385875372582099E-2</v>
      </c>
      <c r="AP193">
        <v>2.9384073776955601E-2</v>
      </c>
      <c r="AQ193">
        <v>2.9353063742753101E-2</v>
      </c>
      <c r="AR193">
        <v>2.9353789945582801E-2</v>
      </c>
      <c r="AS193">
        <v>2.9364912245649299E-2</v>
      </c>
    </row>
    <row r="194" spans="1:45" hidden="1" x14ac:dyDescent="0.3">
      <c r="A194" t="s">
        <v>792</v>
      </c>
      <c r="B194" t="s">
        <v>682</v>
      </c>
      <c r="C194" t="s">
        <v>681</v>
      </c>
      <c r="D194" t="s">
        <v>680</v>
      </c>
      <c r="E194" t="s">
        <v>746</v>
      </c>
      <c r="F194">
        <v>-26.393010665720102</v>
      </c>
      <c r="G194">
        <v>77.367097000559497</v>
      </c>
      <c r="H194">
        <v>64.809112552252301</v>
      </c>
      <c r="I194">
        <v>1594.23441943535</v>
      </c>
      <c r="J194">
        <v>0</v>
      </c>
      <c r="K194">
        <v>-4.19095158576965E-18</v>
      </c>
      <c r="L194">
        <v>2.40021421880297E-3</v>
      </c>
      <c r="M194">
        <v>4.5687983365538098E-3</v>
      </c>
      <c r="N194">
        <v>5.4836221734391203E-3</v>
      </c>
      <c r="O194">
        <v>7.5353437482008397E-3</v>
      </c>
      <c r="P194">
        <v>8.9162947472285706E-3</v>
      </c>
      <c r="Q194">
        <v>1.01416237170159E-2</v>
      </c>
      <c r="R194">
        <v>1.1083859732772299E-2</v>
      </c>
      <c r="S194">
        <v>1.24051889071341E-2</v>
      </c>
      <c r="T194">
        <v>1.2959486352846E-2</v>
      </c>
      <c r="U194">
        <v>1.3504452611009901E-2</v>
      </c>
      <c r="V194">
        <v>1.40739381162271E-2</v>
      </c>
      <c r="W194">
        <v>1.46650994524785E-2</v>
      </c>
      <c r="X194">
        <v>1.53351292121458E-2</v>
      </c>
      <c r="Y194">
        <v>1.5068054486805701E-2</v>
      </c>
      <c r="Z194">
        <v>1.53128650742985E-2</v>
      </c>
      <c r="AA194">
        <v>1.5673197660163701E-2</v>
      </c>
      <c r="AB194">
        <v>1.6232193105284402E-2</v>
      </c>
      <c r="AC194">
        <v>1.69823203409981E-2</v>
      </c>
      <c r="AD194">
        <v>1.79470140056147E-2</v>
      </c>
      <c r="AE194">
        <v>1.8971453102667499E-2</v>
      </c>
      <c r="AF194">
        <v>2.00272940080519E-2</v>
      </c>
      <c r="AG194">
        <v>2.1406841534637799E-2</v>
      </c>
      <c r="AH194">
        <v>2.26850245767579E-2</v>
      </c>
      <c r="AI194">
        <v>2.4008150820828401E-2</v>
      </c>
      <c r="AJ194">
        <v>2.5193051557076199E-2</v>
      </c>
      <c r="AK194">
        <v>2.6321506628047199E-2</v>
      </c>
      <c r="AL194">
        <v>2.7415489383619401E-2</v>
      </c>
      <c r="AM194">
        <v>2.8459162376953499E-2</v>
      </c>
      <c r="AN194">
        <v>2.9003145748205301E-2</v>
      </c>
      <c r="AO194">
        <v>2.9220799651225499E-2</v>
      </c>
      <c r="AP194">
        <v>2.94130424465678E-2</v>
      </c>
      <c r="AQ194">
        <v>2.9566668649596999E-2</v>
      </c>
      <c r="AR194">
        <v>2.9743809668311E-2</v>
      </c>
      <c r="AS194">
        <v>2.9923681811657998E-2</v>
      </c>
    </row>
    <row r="195" spans="1:45" hidden="1" x14ac:dyDescent="0.3">
      <c r="A195" t="s">
        <v>791</v>
      </c>
      <c r="B195" t="s">
        <v>686</v>
      </c>
      <c r="C195" t="s">
        <v>681</v>
      </c>
      <c r="D195" t="s">
        <v>680</v>
      </c>
      <c r="E195" t="s">
        <v>679</v>
      </c>
      <c r="F195">
        <v>1.75373954616034</v>
      </c>
      <c r="G195">
        <v>46.998026456440101</v>
      </c>
      <c r="H195">
        <v>56.995122157528399</v>
      </c>
      <c r="I195">
        <v>1216.7408193162701</v>
      </c>
      <c r="J195">
        <v>0.32141535889348999</v>
      </c>
      <c r="K195">
        <v>0.291525048389288</v>
      </c>
      <c r="L195">
        <v>0.26851753290927499</v>
      </c>
      <c r="M195">
        <v>0.35499111893680801</v>
      </c>
      <c r="N195">
        <v>0.33538055594634703</v>
      </c>
      <c r="O195">
        <v>0.32270868254220098</v>
      </c>
      <c r="P195">
        <v>0.32023327746192898</v>
      </c>
      <c r="Q195">
        <v>0.31771063120422999</v>
      </c>
      <c r="R195">
        <v>0.31519298087773001</v>
      </c>
      <c r="S195">
        <v>0.31323838733861797</v>
      </c>
      <c r="T195">
        <v>0.31066024509704498</v>
      </c>
      <c r="U195">
        <v>0.30824511095839602</v>
      </c>
      <c r="V195">
        <v>0.30657338229168102</v>
      </c>
      <c r="W195">
        <v>0.30524075093653102</v>
      </c>
      <c r="X195">
        <v>0.30466613907485901</v>
      </c>
      <c r="Y195">
        <v>0.30398959684427301</v>
      </c>
      <c r="Z195">
        <v>0.30327089279945102</v>
      </c>
      <c r="AA195">
        <v>0.30191612406118401</v>
      </c>
      <c r="AB195">
        <v>0.30111833581597802</v>
      </c>
      <c r="AC195">
        <v>0.30049229139350903</v>
      </c>
      <c r="AD195">
        <v>0.30027787103419101</v>
      </c>
      <c r="AE195">
        <v>0.30020204456049498</v>
      </c>
      <c r="AF195">
        <v>0.29998920147055003</v>
      </c>
      <c r="AG195">
        <v>0.299885816164429</v>
      </c>
      <c r="AH195">
        <v>0.29993250836656798</v>
      </c>
      <c r="AI195">
        <v>0.30004389778776303</v>
      </c>
      <c r="AJ195">
        <v>0.29996488973077401</v>
      </c>
      <c r="AK195">
        <v>0.30005917692405298</v>
      </c>
      <c r="AL195">
        <v>0.30017535615817498</v>
      </c>
      <c r="AM195">
        <v>0.30035057505854001</v>
      </c>
      <c r="AN195">
        <v>0.30050757059162803</v>
      </c>
      <c r="AO195">
        <v>0.30072041223469298</v>
      </c>
      <c r="AP195">
        <v>0.30089235712183898</v>
      </c>
      <c r="AQ195">
        <v>0.30098302660961701</v>
      </c>
      <c r="AR195">
        <v>0.30112063431298802</v>
      </c>
      <c r="AS195">
        <v>0.301351920630547</v>
      </c>
    </row>
    <row r="196" spans="1:45" hidden="1" x14ac:dyDescent="0.3">
      <c r="A196" t="s">
        <v>791</v>
      </c>
      <c r="B196" t="s">
        <v>685</v>
      </c>
      <c r="C196" t="s">
        <v>681</v>
      </c>
      <c r="D196" t="s">
        <v>680</v>
      </c>
      <c r="E196" t="s">
        <v>679</v>
      </c>
      <c r="F196">
        <v>1.75373954616034</v>
      </c>
      <c r="G196">
        <v>46.998026456440101</v>
      </c>
      <c r="H196">
        <v>56.995122157528399</v>
      </c>
      <c r="I196">
        <v>1216.7408193162701</v>
      </c>
      <c r="J196">
        <v>0.32141535889348999</v>
      </c>
      <c r="K196">
        <v>0.291525048389288</v>
      </c>
      <c r="L196">
        <v>0.26329180534338797</v>
      </c>
      <c r="M196">
        <v>0.34120629980587702</v>
      </c>
      <c r="N196">
        <v>0.31590722166031998</v>
      </c>
      <c r="O196">
        <v>0.29791709003095201</v>
      </c>
      <c r="P196">
        <v>0.289819545794679</v>
      </c>
      <c r="Q196">
        <v>0.28195371676381997</v>
      </c>
      <c r="R196">
        <v>0.27438413334362799</v>
      </c>
      <c r="S196">
        <v>0.26756698052217298</v>
      </c>
      <c r="T196">
        <v>0.26045308971828202</v>
      </c>
      <c r="U196">
        <v>0.25374571506963101</v>
      </c>
      <c r="V196">
        <v>0.24790028453027099</v>
      </c>
      <c r="W196">
        <v>0.242547656851541</v>
      </c>
      <c r="X196">
        <v>0.23797851177738999</v>
      </c>
      <c r="Y196">
        <v>0.23348668963835401</v>
      </c>
      <c r="Z196">
        <v>0.22913839202493899</v>
      </c>
      <c r="AA196">
        <v>0.224519054550088</v>
      </c>
      <c r="AB196">
        <v>0.22048626802895199</v>
      </c>
      <c r="AC196">
        <v>0.21674455147917701</v>
      </c>
      <c r="AD196">
        <v>0.213463370071904</v>
      </c>
      <c r="AE196">
        <v>0.21043855073600801</v>
      </c>
      <c r="AF196">
        <v>0.207478538548721</v>
      </c>
      <c r="AG196">
        <v>0.20475195058807499</v>
      </c>
      <c r="AH196">
        <v>0.20227248936985401</v>
      </c>
      <c r="AI196">
        <v>0.19998439178195099</v>
      </c>
      <c r="AJ196">
        <v>0.19771714722512901</v>
      </c>
      <c r="AK196">
        <v>0.19569993650186501</v>
      </c>
      <c r="AL196">
        <v>0.193841420212256</v>
      </c>
      <c r="AM196">
        <v>0.192164189548713</v>
      </c>
      <c r="AN196">
        <v>0.190606686959155</v>
      </c>
      <c r="AO196">
        <v>0.18923032898445699</v>
      </c>
      <c r="AP196">
        <v>0.187973124696278</v>
      </c>
      <c r="AQ196">
        <v>0.18679508126810901</v>
      </c>
      <c r="AR196">
        <v>0.185770912877089</v>
      </c>
      <c r="AS196">
        <v>0.18492205766557401</v>
      </c>
    </row>
    <row r="197" spans="1:45" hidden="1" x14ac:dyDescent="0.3">
      <c r="A197" t="s">
        <v>791</v>
      </c>
      <c r="B197" t="s">
        <v>684</v>
      </c>
      <c r="C197" t="s">
        <v>681</v>
      </c>
      <c r="D197" t="s">
        <v>680</v>
      </c>
      <c r="E197" t="s">
        <v>679</v>
      </c>
      <c r="F197">
        <v>1.75373954616034</v>
      </c>
      <c r="G197">
        <v>46.998026456440101</v>
      </c>
      <c r="H197">
        <v>225.573879915612</v>
      </c>
      <c r="I197">
        <v>4726.1161258955399</v>
      </c>
      <c r="J197">
        <v>7.7406510936463793E-2</v>
      </c>
      <c r="K197">
        <v>6.8735967584460197E-2</v>
      </c>
      <c r="L197">
        <v>0.19230108048710401</v>
      </c>
      <c r="M197">
        <v>0.26323415812249901</v>
      </c>
      <c r="N197">
        <v>0.24388315289087001</v>
      </c>
      <c r="O197">
        <v>0.220981396226132</v>
      </c>
      <c r="P197">
        <v>0.20468770751024301</v>
      </c>
      <c r="Q197">
        <v>0.19049556410181401</v>
      </c>
      <c r="R197">
        <v>0.17875781458526899</v>
      </c>
      <c r="S197">
        <v>0.16843954986392101</v>
      </c>
      <c r="T197">
        <v>0.15924004415154799</v>
      </c>
      <c r="U197">
        <v>0.150473620574849</v>
      </c>
      <c r="V197">
        <v>0.14246582014546899</v>
      </c>
      <c r="W197">
        <v>0.13492895554453599</v>
      </c>
      <c r="X197">
        <v>0.128017981092338</v>
      </c>
      <c r="Y197">
        <v>0.121647707428594</v>
      </c>
      <c r="Z197">
        <v>0.114618077565574</v>
      </c>
      <c r="AA197">
        <v>0.107436005352133</v>
      </c>
      <c r="AB197">
        <v>0.100795267459515</v>
      </c>
      <c r="AC197">
        <v>9.4434683529004998E-2</v>
      </c>
      <c r="AD197">
        <v>8.8273842309024395E-2</v>
      </c>
      <c r="AE197">
        <v>8.2411964111193406E-2</v>
      </c>
      <c r="AF197">
        <v>7.66296143675049E-2</v>
      </c>
      <c r="AG197">
        <v>7.0382293763967901E-2</v>
      </c>
      <c r="AH197">
        <v>6.4980369402963603E-2</v>
      </c>
      <c r="AI197">
        <v>5.9929766607871797E-2</v>
      </c>
      <c r="AJ197">
        <v>5.5243845749490803E-2</v>
      </c>
      <c r="AK197">
        <v>5.0970947127679397E-2</v>
      </c>
      <c r="AL197">
        <v>4.70457535281592E-2</v>
      </c>
      <c r="AM197">
        <v>4.3551658119309299E-2</v>
      </c>
      <c r="AN197">
        <v>4.0448155558790201E-2</v>
      </c>
      <c r="AO197">
        <v>3.77276839685938E-2</v>
      </c>
      <c r="AP197">
        <v>3.5205659589910197E-2</v>
      </c>
      <c r="AQ197">
        <v>3.2917478527524698E-2</v>
      </c>
      <c r="AR197">
        <v>3.1042392647136399E-2</v>
      </c>
      <c r="AS197">
        <v>2.9355670700673402E-2</v>
      </c>
    </row>
    <row r="198" spans="1:45" hidden="1" x14ac:dyDescent="0.3">
      <c r="A198" t="s">
        <v>791</v>
      </c>
      <c r="B198" t="s">
        <v>682</v>
      </c>
      <c r="C198" t="s">
        <v>681</v>
      </c>
      <c r="D198" t="s">
        <v>680</v>
      </c>
      <c r="E198" t="s">
        <v>679</v>
      </c>
      <c r="F198">
        <v>1.75373954616034</v>
      </c>
      <c r="G198">
        <v>46.998026456440101</v>
      </c>
      <c r="H198">
        <v>225.573879915612</v>
      </c>
      <c r="I198">
        <v>4726.1161258955399</v>
      </c>
      <c r="J198">
        <v>7.7368409412667705E-2</v>
      </c>
      <c r="K198">
        <v>6.8656265030060198E-2</v>
      </c>
      <c r="L198">
        <v>0.187525492579765</v>
      </c>
      <c r="M198">
        <v>0.25243722431114701</v>
      </c>
      <c r="N198">
        <v>0.23012050522126901</v>
      </c>
      <c r="O198">
        <v>0.20465138417277901</v>
      </c>
      <c r="P198">
        <v>0.186004523842761</v>
      </c>
      <c r="Q198">
        <v>0.169793777715322</v>
      </c>
      <c r="R198">
        <v>0.15628468752482</v>
      </c>
      <c r="S198">
        <v>0.14440074197272601</v>
      </c>
      <c r="T198">
        <v>0.13390902168893401</v>
      </c>
      <c r="U198">
        <v>0.124039036193945</v>
      </c>
      <c r="V198">
        <v>0.115065697702865</v>
      </c>
      <c r="W198">
        <v>0.106727843609789</v>
      </c>
      <c r="X198">
        <v>9.9131939519061102E-2</v>
      </c>
      <c r="Y198">
        <v>9.2178932161934096E-2</v>
      </c>
      <c r="Z198">
        <v>8.4840717284883904E-2</v>
      </c>
      <c r="AA198">
        <v>7.7598861000902603E-2</v>
      </c>
      <c r="AB198">
        <v>7.0999556401140695E-2</v>
      </c>
      <c r="AC198">
        <v>6.4831648739123393E-2</v>
      </c>
      <c r="AD198">
        <v>5.90036151578252E-2</v>
      </c>
      <c r="AE198">
        <v>5.35924460220676E-2</v>
      </c>
      <c r="AF198">
        <v>4.8424668532727803E-2</v>
      </c>
      <c r="AG198">
        <v>4.3187107998728699E-2</v>
      </c>
      <c r="AH198">
        <v>3.87174718482955E-2</v>
      </c>
      <c r="AI198">
        <v>3.4648010715049998E-2</v>
      </c>
      <c r="AJ198">
        <v>3.09810804542167E-2</v>
      </c>
      <c r="AK198">
        <v>2.7717545242710501E-2</v>
      </c>
      <c r="AL198">
        <v>2.4801100820862301E-2</v>
      </c>
      <c r="AM198">
        <v>2.2279482839080201E-2</v>
      </c>
      <c r="AN198">
        <v>2.0081779554317E-2</v>
      </c>
      <c r="AO198">
        <v>1.81966290842927E-2</v>
      </c>
      <c r="AP198">
        <v>1.6499263731538899E-2</v>
      </c>
      <c r="AQ198">
        <v>1.5000590810627599E-2</v>
      </c>
      <c r="AR198">
        <v>1.38140560364385E-2</v>
      </c>
      <c r="AS198">
        <v>1.2773413000041201E-2</v>
      </c>
    </row>
    <row r="199" spans="1:45" hidden="1" x14ac:dyDescent="0.3">
      <c r="A199" t="s">
        <v>790</v>
      </c>
      <c r="B199" t="s">
        <v>686</v>
      </c>
      <c r="C199" t="s">
        <v>681</v>
      </c>
      <c r="D199" t="s">
        <v>680</v>
      </c>
      <c r="E199" t="s">
        <v>679</v>
      </c>
      <c r="F199">
        <v>1.0189861674543099</v>
      </c>
      <c r="G199">
        <v>25.7362626980063</v>
      </c>
      <c r="H199">
        <v>34.501079103488699</v>
      </c>
      <c r="I199">
        <v>651.93613271137099</v>
      </c>
      <c r="J199">
        <v>0.56961824185000998</v>
      </c>
      <c r="K199">
        <v>0.53716630407532096</v>
      </c>
      <c r="L199">
        <v>0.49253725325166398</v>
      </c>
      <c r="M199">
        <v>0.61701178580512195</v>
      </c>
      <c r="N199">
        <v>0.56827277081462602</v>
      </c>
      <c r="O199">
        <v>0.57014145071799005</v>
      </c>
      <c r="P199">
        <v>0.56792018202651895</v>
      </c>
      <c r="Q199">
        <v>0.56514599764837303</v>
      </c>
      <c r="R199">
        <v>0.56195529576208103</v>
      </c>
      <c r="S199">
        <v>0.55972094717147602</v>
      </c>
      <c r="T199">
        <v>0.55605767645750104</v>
      </c>
      <c r="U199">
        <v>0.55294116796242998</v>
      </c>
      <c r="V199">
        <v>0.55129225805554205</v>
      </c>
      <c r="W199">
        <v>0.550495997135937</v>
      </c>
      <c r="X199">
        <v>0.55143000080445004</v>
      </c>
      <c r="Y199">
        <v>0.55222309420841098</v>
      </c>
      <c r="Z199">
        <v>0.55296419694036603</v>
      </c>
      <c r="AA199">
        <v>0.552274257000549</v>
      </c>
      <c r="AB199">
        <v>0.55288489497826698</v>
      </c>
      <c r="AC199">
        <v>0.553912194374097</v>
      </c>
      <c r="AD199">
        <v>0.55587050638588098</v>
      </c>
      <c r="AE199">
        <v>0.55813260776078299</v>
      </c>
      <c r="AF199">
        <v>0.56018057492415596</v>
      </c>
      <c r="AG199">
        <v>0.56239046915391799</v>
      </c>
      <c r="AH199">
        <v>0.56487139795354102</v>
      </c>
      <c r="AI199">
        <v>0.56758052067018805</v>
      </c>
      <c r="AJ199">
        <v>0.56983696392654704</v>
      </c>
      <c r="AK199">
        <v>0.57243643512947895</v>
      </c>
      <c r="AL199">
        <v>0.57511380737377804</v>
      </c>
      <c r="AM199">
        <v>0.57787877076718897</v>
      </c>
      <c r="AN199">
        <v>0.58054804986623199</v>
      </c>
      <c r="AO199">
        <v>0.58344394819303702</v>
      </c>
      <c r="AP199">
        <v>0.58624526901033802</v>
      </c>
      <c r="AQ199">
        <v>0.58871165774432399</v>
      </c>
      <c r="AR199">
        <v>0.59142985929146197</v>
      </c>
      <c r="AS199">
        <v>0.59437539624264402</v>
      </c>
    </row>
    <row r="200" spans="1:45" hidden="1" x14ac:dyDescent="0.3">
      <c r="A200" t="s">
        <v>790</v>
      </c>
      <c r="B200" t="s">
        <v>685</v>
      </c>
      <c r="C200" t="s">
        <v>681</v>
      </c>
      <c r="D200" t="s">
        <v>680</v>
      </c>
      <c r="E200" t="s">
        <v>679</v>
      </c>
      <c r="F200">
        <v>1.0189861674543099</v>
      </c>
      <c r="G200">
        <v>25.7362626980063</v>
      </c>
      <c r="H200">
        <v>34.501079103488699</v>
      </c>
      <c r="I200">
        <v>651.93613271137099</v>
      </c>
      <c r="J200">
        <v>0.56961824185000998</v>
      </c>
      <c r="K200">
        <v>0.53716630407532096</v>
      </c>
      <c r="L200">
        <v>0.47965563544786899</v>
      </c>
      <c r="M200">
        <v>0.58062539160847604</v>
      </c>
      <c r="N200">
        <v>0.51652236468255397</v>
      </c>
      <c r="O200">
        <v>0.50724698812818703</v>
      </c>
      <c r="P200">
        <v>0.49132055867710001</v>
      </c>
      <c r="Q200">
        <v>0.47564015745968202</v>
      </c>
      <c r="R200">
        <v>0.460351767002455</v>
      </c>
      <c r="S200">
        <v>0.44665366672617601</v>
      </c>
      <c r="T200">
        <v>0.43242406750332801</v>
      </c>
      <c r="U200">
        <v>0.41963691763047301</v>
      </c>
      <c r="V200">
        <v>0.40892058131048398</v>
      </c>
      <c r="W200">
        <v>0.39989449313033898</v>
      </c>
      <c r="X200">
        <v>0.39302706639852403</v>
      </c>
      <c r="Y200">
        <v>0.38691045881385799</v>
      </c>
      <c r="Z200">
        <v>0.38175521027100301</v>
      </c>
      <c r="AA200">
        <v>0.37644433870713301</v>
      </c>
      <c r="AB200">
        <v>0.37300696896844598</v>
      </c>
      <c r="AC200">
        <v>0.37098793697874399</v>
      </c>
      <c r="AD200">
        <v>0.37093558749559802</v>
      </c>
      <c r="AE200">
        <v>0.37195336971471998</v>
      </c>
      <c r="AF200">
        <v>0.37363429542104598</v>
      </c>
      <c r="AG200">
        <v>0.376760886596889</v>
      </c>
      <c r="AH200">
        <v>0.380808571619276</v>
      </c>
      <c r="AI200">
        <v>0.38585372978918803</v>
      </c>
      <c r="AJ200">
        <v>0.39561224632007502</v>
      </c>
      <c r="AK200">
        <v>0.40603041314467297</v>
      </c>
      <c r="AL200">
        <v>0.41670334749619098</v>
      </c>
      <c r="AM200">
        <v>0.42753637114576598</v>
      </c>
      <c r="AN200">
        <v>0.43827002096331302</v>
      </c>
      <c r="AO200">
        <v>0.44936526505970598</v>
      </c>
      <c r="AP200">
        <v>0.46052907822174199</v>
      </c>
      <c r="AQ200">
        <v>0.471245115510389</v>
      </c>
      <c r="AR200">
        <v>0.48244608143484402</v>
      </c>
      <c r="AS200">
        <v>0.49399721238632899</v>
      </c>
    </row>
    <row r="201" spans="1:45" hidden="1" x14ac:dyDescent="0.3">
      <c r="A201" t="s">
        <v>790</v>
      </c>
      <c r="B201" t="s">
        <v>684</v>
      </c>
      <c r="C201" t="s">
        <v>681</v>
      </c>
      <c r="D201" t="s">
        <v>680</v>
      </c>
      <c r="E201" t="s">
        <v>679</v>
      </c>
      <c r="F201">
        <v>1.0189861674543099</v>
      </c>
      <c r="G201">
        <v>25.7362626980063</v>
      </c>
      <c r="H201">
        <v>7518.03637462392</v>
      </c>
      <c r="I201">
        <v>165005.027201964</v>
      </c>
      <c r="J201">
        <v>-1.6763806343078601E-16</v>
      </c>
      <c r="K201">
        <v>4.3597538024187097E-17</v>
      </c>
      <c r="L201">
        <v>1.27610404198874E-4</v>
      </c>
      <c r="M201">
        <v>4.27725854153728E-4</v>
      </c>
      <c r="N201">
        <v>6.1297716655034698E-4</v>
      </c>
      <c r="O201">
        <v>7.7779654341181401E-4</v>
      </c>
      <c r="P201">
        <v>9.2895609971772202E-4</v>
      </c>
      <c r="Q201">
        <v>1.0592791985873E-3</v>
      </c>
      <c r="R201">
        <v>1.17868137680987E-3</v>
      </c>
      <c r="S201">
        <v>1.2891047789627299E-3</v>
      </c>
      <c r="T201">
        <v>1.38537686702646E-3</v>
      </c>
      <c r="U201">
        <v>1.4711895327171199E-3</v>
      </c>
      <c r="V201">
        <v>1.5516562623970099E-3</v>
      </c>
      <c r="W201">
        <v>1.62522107633277E-3</v>
      </c>
      <c r="X201">
        <v>1.69714841366291E-3</v>
      </c>
      <c r="Y201">
        <v>1.7102278070478499E-3</v>
      </c>
      <c r="Z201">
        <v>1.7032959299310101E-3</v>
      </c>
      <c r="AA201">
        <v>1.6829432542126801E-3</v>
      </c>
      <c r="AB201">
        <v>1.65612861205028E-3</v>
      </c>
      <c r="AC201">
        <v>1.6188716741059399E-3</v>
      </c>
      <c r="AD201">
        <v>1.57417956643416E-3</v>
      </c>
      <c r="AE201">
        <v>1.5267373311462101E-3</v>
      </c>
      <c r="AF201">
        <v>1.4738093214885001E-3</v>
      </c>
      <c r="AG201">
        <v>1.40246061799369E-3</v>
      </c>
      <c r="AH201">
        <v>1.31784292611751E-3</v>
      </c>
      <c r="AI201">
        <v>1.23371200751209E-3</v>
      </c>
      <c r="AJ201">
        <v>1.1730088180757E-3</v>
      </c>
      <c r="AK201">
        <v>1.12717599870227E-3</v>
      </c>
      <c r="AL201">
        <v>1.0823731133525599E-3</v>
      </c>
      <c r="AM201">
        <v>1.0398291216748401E-3</v>
      </c>
      <c r="AN201">
        <v>1.0149475077281199E-3</v>
      </c>
      <c r="AO201">
        <v>9.944973877175369E-4</v>
      </c>
      <c r="AP201">
        <v>9.7273875685846903E-4</v>
      </c>
      <c r="AQ201">
        <v>9.49021216915011E-4</v>
      </c>
      <c r="AR201">
        <v>9.3652159994144196E-4</v>
      </c>
      <c r="AS201">
        <v>9.2588543273435203E-4</v>
      </c>
    </row>
    <row r="202" spans="1:45" hidden="1" x14ac:dyDescent="0.3">
      <c r="A202" t="s">
        <v>790</v>
      </c>
      <c r="B202" t="s">
        <v>682</v>
      </c>
      <c r="C202" t="s">
        <v>681</v>
      </c>
      <c r="D202" t="s">
        <v>680</v>
      </c>
      <c r="E202" t="s">
        <v>679</v>
      </c>
      <c r="F202">
        <v>1.0189861674543099</v>
      </c>
      <c r="G202">
        <v>25.7362626980063</v>
      </c>
      <c r="H202">
        <v>7518.03637462392</v>
      </c>
      <c r="I202">
        <v>165005.027201964</v>
      </c>
      <c r="J202">
        <v>-1.6763806343078601E-16</v>
      </c>
      <c r="K202">
        <v>4.3597538024187097E-17</v>
      </c>
      <c r="L202">
        <v>1.13727350935105E-4</v>
      </c>
      <c r="M202">
        <v>3.47079123076535E-4</v>
      </c>
      <c r="N202">
        <v>4.6539359158603399E-4</v>
      </c>
      <c r="O202">
        <v>5.7330781321517598E-4</v>
      </c>
      <c r="P202">
        <v>6.5795630219437999E-4</v>
      </c>
      <c r="Q202">
        <v>7.2195229175261403E-4</v>
      </c>
      <c r="R202">
        <v>7.7590279046835795E-4</v>
      </c>
      <c r="S202">
        <v>8.2012276584530097E-4</v>
      </c>
      <c r="T202">
        <v>8.5242091606770997E-4</v>
      </c>
      <c r="U202">
        <v>8.7642296045087396E-4</v>
      </c>
      <c r="V202">
        <v>8.9558552968753099E-4</v>
      </c>
      <c r="W202">
        <v>9.0975790600377198E-4</v>
      </c>
      <c r="X202">
        <v>9.2165122205593105E-4</v>
      </c>
      <c r="Y202">
        <v>9.2919138874494997E-4</v>
      </c>
      <c r="Z202">
        <v>9.1121959169765702E-4</v>
      </c>
      <c r="AA202">
        <v>8.8106076109868096E-4</v>
      </c>
      <c r="AB202">
        <v>8.4123623270597199E-4</v>
      </c>
      <c r="AC202">
        <v>7.9063496177745902E-4</v>
      </c>
      <c r="AD202">
        <v>7.3284319586120904E-4</v>
      </c>
      <c r="AE202">
        <v>6.7281325401707796E-4</v>
      </c>
      <c r="AF202">
        <v>6.1133348326386299E-4</v>
      </c>
      <c r="AG202">
        <v>5.4078244433671202E-4</v>
      </c>
      <c r="AH202">
        <v>4.6916760189013999E-4</v>
      </c>
      <c r="AI202">
        <v>3.9974818039211602E-4</v>
      </c>
      <c r="AJ202">
        <v>3.6466142638780799E-4</v>
      </c>
      <c r="AK202">
        <v>3.4336000738545999E-4</v>
      </c>
      <c r="AL202">
        <v>3.23311342913655E-4</v>
      </c>
      <c r="AM202">
        <v>3.0571868563456601E-4</v>
      </c>
      <c r="AN202">
        <v>2.9821006081110201E-4</v>
      </c>
      <c r="AO202">
        <v>2.98749754532915E-4</v>
      </c>
      <c r="AP202">
        <v>3.0111696175519798E-4</v>
      </c>
      <c r="AQ202">
        <v>3.0261243341907202E-4</v>
      </c>
      <c r="AR202">
        <v>3.1430745814224002E-4</v>
      </c>
      <c r="AS202">
        <v>3.2951604392706898E-4</v>
      </c>
    </row>
    <row r="203" spans="1:45" x14ac:dyDescent="0.3">
      <c r="A203" t="s">
        <v>789</v>
      </c>
      <c r="B203" t="s">
        <v>686</v>
      </c>
      <c r="C203" t="s">
        <v>681</v>
      </c>
      <c r="D203" t="s">
        <v>719</v>
      </c>
      <c r="E203" t="s">
        <v>696</v>
      </c>
      <c r="F203">
        <v>-23.284438703518401</v>
      </c>
      <c r="G203">
        <v>999</v>
      </c>
      <c r="H203">
        <v>1233.24681167163</v>
      </c>
      <c r="I203">
        <v>30336.542820479099</v>
      </c>
      <c r="J203">
        <v>3.1669693617076999E-2</v>
      </c>
      <c r="K203">
        <v>3.4015696536476098E-2</v>
      </c>
      <c r="L203">
        <v>3.3456238819222599E-2</v>
      </c>
      <c r="M203">
        <v>3.6226973781564101E-2</v>
      </c>
      <c r="N203">
        <v>3.3404067623626202E-2</v>
      </c>
      <c r="O203">
        <v>3.4081845421319701E-2</v>
      </c>
      <c r="P203">
        <v>3.3635169862073599E-2</v>
      </c>
      <c r="Q203">
        <v>3.3196007346742398E-2</v>
      </c>
      <c r="R203">
        <v>3.2652821025963598E-2</v>
      </c>
      <c r="S203">
        <v>3.2182684288519198E-2</v>
      </c>
      <c r="T203">
        <v>3.1605543767512199E-2</v>
      </c>
      <c r="U203">
        <v>3.1096779250371499E-2</v>
      </c>
      <c r="V203">
        <v>3.0680878083518E-2</v>
      </c>
      <c r="W203">
        <v>3.0338048810597599E-2</v>
      </c>
      <c r="X203">
        <v>3.0116159202241002E-2</v>
      </c>
      <c r="Y203">
        <v>2.98925854532523E-2</v>
      </c>
      <c r="Z203">
        <v>2.9657971768477401E-2</v>
      </c>
      <c r="AA203">
        <v>2.9319208423203302E-2</v>
      </c>
      <c r="AB203">
        <v>2.9113281122357199E-2</v>
      </c>
      <c r="AC203">
        <v>2.8892100265992801E-2</v>
      </c>
      <c r="AD203">
        <v>2.8739435034200098E-2</v>
      </c>
      <c r="AE203">
        <v>2.8608374093379199E-2</v>
      </c>
      <c r="AF203">
        <v>2.84312989183493E-2</v>
      </c>
      <c r="AG203">
        <v>2.8270860520408302E-2</v>
      </c>
      <c r="AH203">
        <v>2.8141680825128499E-2</v>
      </c>
      <c r="AI203">
        <v>2.8043880718524102E-2</v>
      </c>
      <c r="AJ203">
        <v>2.7912675017842999E-2</v>
      </c>
      <c r="AK203">
        <v>2.7805408812410299E-2</v>
      </c>
      <c r="AL203">
        <v>2.77158065290968E-2</v>
      </c>
      <c r="AM203">
        <v>2.7625478646880201E-2</v>
      </c>
      <c r="AN203">
        <v>2.75449046733202E-2</v>
      </c>
      <c r="AO203">
        <v>2.7473194607575201E-2</v>
      </c>
      <c r="AP203">
        <v>2.7417200052972001E-2</v>
      </c>
      <c r="AQ203">
        <v>2.7341737834853101E-2</v>
      </c>
      <c r="AR203">
        <v>2.7295845000315001E-2</v>
      </c>
      <c r="AS203">
        <v>2.7257941178943298E-2</v>
      </c>
    </row>
    <row r="204" spans="1:45" x14ac:dyDescent="0.3">
      <c r="A204" t="s">
        <v>789</v>
      </c>
      <c r="B204" t="s">
        <v>685</v>
      </c>
      <c r="C204" t="s">
        <v>681</v>
      </c>
      <c r="D204" t="s">
        <v>719</v>
      </c>
      <c r="E204" t="s">
        <v>696</v>
      </c>
      <c r="F204">
        <v>-23.284438703518401</v>
      </c>
      <c r="G204">
        <v>999</v>
      </c>
      <c r="H204">
        <v>1233.24681167163</v>
      </c>
      <c r="I204">
        <v>30336.542820479099</v>
      </c>
      <c r="J204">
        <v>3.1669693617076999E-2</v>
      </c>
      <c r="K204">
        <v>3.4015696536476098E-2</v>
      </c>
      <c r="L204">
        <v>3.3033504301248101E-2</v>
      </c>
      <c r="M204">
        <v>3.5363015764681802E-2</v>
      </c>
      <c r="N204">
        <v>3.2244122445081402E-2</v>
      </c>
      <c r="O204">
        <v>3.2528581655260597E-2</v>
      </c>
      <c r="P204">
        <v>3.1769118679423398E-2</v>
      </c>
      <c r="Q204">
        <v>3.1041913892809199E-2</v>
      </c>
      <c r="R204">
        <v>3.02441751284937E-2</v>
      </c>
      <c r="S204">
        <v>2.9538928472976501E-2</v>
      </c>
      <c r="T204">
        <v>2.8759020343441501E-2</v>
      </c>
      <c r="U204">
        <v>2.8063193681763798E-2</v>
      </c>
      <c r="V204">
        <v>2.7471533983226999E-2</v>
      </c>
      <c r="W204">
        <v>2.6963696979663498E-2</v>
      </c>
      <c r="X204">
        <v>2.65800409474704E-2</v>
      </c>
      <c r="Y204">
        <v>2.62098536837913E-2</v>
      </c>
      <c r="Z204">
        <v>2.58447559271382E-2</v>
      </c>
      <c r="AA204">
        <v>2.54041329180082E-2</v>
      </c>
      <c r="AB204">
        <v>2.50925250545923E-2</v>
      </c>
      <c r="AC204">
        <v>2.4780645422674399E-2</v>
      </c>
      <c r="AD204">
        <v>2.4622823056772301E-2</v>
      </c>
      <c r="AE204">
        <v>2.4531083257220199E-2</v>
      </c>
      <c r="AF204">
        <v>2.43920781173338E-2</v>
      </c>
      <c r="AG204">
        <v>2.42678688110727E-2</v>
      </c>
      <c r="AH204">
        <v>2.4170955937716E-2</v>
      </c>
      <c r="AI204">
        <v>2.4101301212642999E-2</v>
      </c>
      <c r="AJ204">
        <v>2.40030610315774E-2</v>
      </c>
      <c r="AK204">
        <v>2.3925554048326799E-2</v>
      </c>
      <c r="AL204">
        <v>2.38633187589317E-2</v>
      </c>
      <c r="AM204">
        <v>2.38005687433939E-2</v>
      </c>
      <c r="AN204">
        <v>2.3746247519856899E-2</v>
      </c>
      <c r="AO204">
        <v>2.3699397760478601E-2</v>
      </c>
      <c r="AP204">
        <v>2.3665980811791301E-2</v>
      </c>
      <c r="AQ204">
        <v>2.3615716708708202E-2</v>
      </c>
      <c r="AR204">
        <v>2.3590781194122099E-2</v>
      </c>
      <c r="AS204">
        <v>2.35724705611636E-2</v>
      </c>
    </row>
    <row r="205" spans="1:45" x14ac:dyDescent="0.3">
      <c r="A205" t="s">
        <v>789</v>
      </c>
      <c r="B205" t="s">
        <v>684</v>
      </c>
      <c r="C205" t="s">
        <v>681</v>
      </c>
      <c r="D205" t="s">
        <v>719</v>
      </c>
      <c r="E205" t="s">
        <v>696</v>
      </c>
      <c r="F205">
        <v>-23.284438703518401</v>
      </c>
      <c r="G205">
        <v>999</v>
      </c>
      <c r="H205">
        <v>999</v>
      </c>
      <c r="I205">
        <v>999</v>
      </c>
      <c r="J205">
        <v>-2.1682353690266601E-18</v>
      </c>
      <c r="K205">
        <v>4.0745362639427198E-19</v>
      </c>
      <c r="L205">
        <v>9.0221874415874499E-19</v>
      </c>
      <c r="M205">
        <v>0</v>
      </c>
      <c r="N205">
        <v>5.9371814131736802E-18</v>
      </c>
      <c r="O205">
        <v>1.3969838619232201E-18</v>
      </c>
      <c r="P205">
        <v>2.9103830456733698E-18</v>
      </c>
      <c r="Q205">
        <v>7.5669959187507598E-18</v>
      </c>
      <c r="R205">
        <v>-5.5879354476928703E-18</v>
      </c>
      <c r="S205">
        <v>-3.14321368932724E-18</v>
      </c>
      <c r="T205">
        <v>2.4447217583656299E-18</v>
      </c>
      <c r="U205">
        <v>3.60887497663498E-18</v>
      </c>
      <c r="V205">
        <v>-3.3760443329811102E-18</v>
      </c>
      <c r="W205">
        <v>-3.9581209421157798E-18</v>
      </c>
      <c r="X205">
        <v>1.1641532182693499E-17</v>
      </c>
      <c r="Y205">
        <v>1.7462298274040201E-18</v>
      </c>
      <c r="Z205">
        <v>9.0803951025009198E-18</v>
      </c>
      <c r="AA205">
        <v>-1.03609636425972E-17</v>
      </c>
      <c r="AB205">
        <v>-4.4237822294235202E-18</v>
      </c>
      <c r="AC205">
        <v>1.8626451492309598E-18</v>
      </c>
      <c r="AD205">
        <v>-9.0803951025009198E-18</v>
      </c>
      <c r="AE205">
        <v>8.3819031715393093E-18</v>
      </c>
      <c r="AF205">
        <v>4.65661287307739E-19</v>
      </c>
      <c r="AG205">
        <v>-4.6566128730773904E-18</v>
      </c>
      <c r="AH205">
        <v>-2.56113708019257E-18</v>
      </c>
      <c r="AI205">
        <v>-5.1222741603851299E-18</v>
      </c>
      <c r="AJ205">
        <v>-9.7788870334625303E-18</v>
      </c>
      <c r="AK205">
        <v>-6.5192580223083502E-18</v>
      </c>
      <c r="AL205">
        <v>9.3132257461547896E-19</v>
      </c>
      <c r="AM205">
        <v>1.8626451492309598E-18</v>
      </c>
      <c r="AN205">
        <v>1.0710209608078E-17</v>
      </c>
      <c r="AO205">
        <v>1.0710209608078E-17</v>
      </c>
      <c r="AP205">
        <v>1.02445483207703E-17</v>
      </c>
      <c r="AQ205">
        <v>-9.3132257461547896E-19</v>
      </c>
      <c r="AR205">
        <v>5.5879354476928703E-18</v>
      </c>
      <c r="AS205">
        <v>-1.8626451492309598E-18</v>
      </c>
    </row>
    <row r="206" spans="1:45" x14ac:dyDescent="0.3">
      <c r="A206" t="s">
        <v>789</v>
      </c>
      <c r="B206" t="s">
        <v>682</v>
      </c>
      <c r="C206" t="s">
        <v>681</v>
      </c>
      <c r="D206" t="s">
        <v>719</v>
      </c>
      <c r="E206" t="s">
        <v>696</v>
      </c>
      <c r="F206">
        <v>-23.284438703518401</v>
      </c>
      <c r="G206">
        <v>999</v>
      </c>
      <c r="H206">
        <v>999</v>
      </c>
      <c r="I206">
        <v>999</v>
      </c>
      <c r="J206">
        <v>-2.1682353690266601E-18</v>
      </c>
      <c r="K206">
        <v>4.0745362639427198E-19</v>
      </c>
      <c r="L206">
        <v>8.4983184933662405E-18</v>
      </c>
      <c r="M206">
        <v>-6.4028427004814197E-18</v>
      </c>
      <c r="N206">
        <v>-9.4296410679817197E-18</v>
      </c>
      <c r="O206">
        <v>9.7788870334625303E-18</v>
      </c>
      <c r="P206">
        <v>4.7730281949043301E-18</v>
      </c>
      <c r="Q206">
        <v>-4.65661287307739E-19</v>
      </c>
      <c r="R206">
        <v>3.0267983675003099E-18</v>
      </c>
      <c r="S206">
        <v>-5.4715201258659398E-18</v>
      </c>
      <c r="T206">
        <v>-5.8207660913467399E-19</v>
      </c>
      <c r="U206">
        <v>-6.0535967350006099E-18</v>
      </c>
      <c r="V206">
        <v>5.0058588385582002E-18</v>
      </c>
      <c r="W206">
        <v>1.3969838619232201E-18</v>
      </c>
      <c r="X206">
        <v>-4.7730281949043301E-18</v>
      </c>
      <c r="Y206">
        <v>6.9849193096160898E-19</v>
      </c>
      <c r="Z206">
        <v>0</v>
      </c>
      <c r="AA206">
        <v>1.4435499906539901E-17</v>
      </c>
      <c r="AB206">
        <v>-5.4715201258659398E-18</v>
      </c>
      <c r="AC206">
        <v>9.5460563898086601E-18</v>
      </c>
      <c r="AD206">
        <v>3.0267983675003099E-18</v>
      </c>
      <c r="AE206">
        <v>5.5879354476928703E-18</v>
      </c>
      <c r="AF206">
        <v>6.7520886659622204E-18</v>
      </c>
      <c r="AG206">
        <v>-4.65661287307739E-19</v>
      </c>
      <c r="AH206">
        <v>-4.65661287307739E-19</v>
      </c>
      <c r="AI206">
        <v>-4.6566128730773904E-18</v>
      </c>
      <c r="AJ206">
        <v>7.21774995326996E-18</v>
      </c>
      <c r="AK206">
        <v>0</v>
      </c>
      <c r="AL206">
        <v>4.19095158576965E-18</v>
      </c>
      <c r="AM206">
        <v>-9.5460563898086601E-18</v>
      </c>
      <c r="AN206">
        <v>-4.19095158576965E-18</v>
      </c>
      <c r="AO206">
        <v>4.4237822294235202E-18</v>
      </c>
      <c r="AP206">
        <v>1.6298145055770901E-18</v>
      </c>
      <c r="AQ206">
        <v>6.9849193096160898E-18</v>
      </c>
      <c r="AR206">
        <v>-4.8894435167312598E-18</v>
      </c>
      <c r="AS206">
        <v>-1.8626451492309598E-18</v>
      </c>
    </row>
    <row r="207" spans="1:45" x14ac:dyDescent="0.3">
      <c r="A207" t="s">
        <v>788</v>
      </c>
      <c r="B207" t="s">
        <v>686</v>
      </c>
      <c r="C207" t="s">
        <v>681</v>
      </c>
      <c r="D207" t="s">
        <v>719</v>
      </c>
      <c r="E207" t="s">
        <v>696</v>
      </c>
      <c r="F207">
        <v>-12.0592873818673</v>
      </c>
      <c r="G207">
        <v>999</v>
      </c>
      <c r="H207">
        <v>86.448331311703896</v>
      </c>
      <c r="I207">
        <v>1327.7227175846101</v>
      </c>
      <c r="J207">
        <v>0.35196182883751598</v>
      </c>
      <c r="K207">
        <v>0.33939745728911902</v>
      </c>
      <c r="L207">
        <v>0.30994221283873702</v>
      </c>
      <c r="M207">
        <v>0.36245304006175499</v>
      </c>
      <c r="N207">
        <v>0.340786022006138</v>
      </c>
      <c r="O207">
        <v>0.33936289388351698</v>
      </c>
      <c r="P207">
        <v>0.33699417006464999</v>
      </c>
      <c r="Q207">
        <v>0.33401822858077901</v>
      </c>
      <c r="R207">
        <v>0.33050502546767702</v>
      </c>
      <c r="S207">
        <v>0.32688890080192901</v>
      </c>
      <c r="T207">
        <v>0.32289700147274403</v>
      </c>
      <c r="U207">
        <v>0.31958221281604898</v>
      </c>
      <c r="V207">
        <v>0.31726388217113599</v>
      </c>
      <c r="W207">
        <v>0.315361760891464</v>
      </c>
      <c r="X207">
        <v>0.314062924635504</v>
      </c>
      <c r="Y207">
        <v>0.31267840327358998</v>
      </c>
      <c r="Z207">
        <v>0.31135960628703102</v>
      </c>
      <c r="AA207">
        <v>0.30957775218745898</v>
      </c>
      <c r="AB207">
        <v>0.308038717493263</v>
      </c>
      <c r="AC207">
        <v>0.306639532468506</v>
      </c>
      <c r="AD207">
        <v>0.30549505248195602</v>
      </c>
      <c r="AE207">
        <v>0.30435788995025898</v>
      </c>
      <c r="AF207">
        <v>0.30319229124554797</v>
      </c>
      <c r="AG207">
        <v>0.30221945647566401</v>
      </c>
      <c r="AH207">
        <v>0.30142895913752599</v>
      </c>
      <c r="AI207">
        <v>0.30065092524019699</v>
      </c>
      <c r="AJ207">
        <v>0.29982469164683201</v>
      </c>
      <c r="AK207">
        <v>0.29913978315552903</v>
      </c>
      <c r="AL207">
        <v>0.29844108746361497</v>
      </c>
      <c r="AM207">
        <v>0.29775189411340802</v>
      </c>
      <c r="AN207">
        <v>0.297062069679982</v>
      </c>
      <c r="AO207">
        <v>0.29649235834309901</v>
      </c>
      <c r="AP207">
        <v>0.29592341262564498</v>
      </c>
      <c r="AQ207">
        <v>0.29530123404421399</v>
      </c>
      <c r="AR207">
        <v>0.294689609742881</v>
      </c>
      <c r="AS207">
        <v>0.29423233895979301</v>
      </c>
    </row>
    <row r="208" spans="1:45" x14ac:dyDescent="0.3">
      <c r="A208" t="s">
        <v>788</v>
      </c>
      <c r="B208" t="s">
        <v>685</v>
      </c>
      <c r="C208" t="s">
        <v>681</v>
      </c>
      <c r="D208" t="s">
        <v>719</v>
      </c>
      <c r="E208" t="s">
        <v>696</v>
      </c>
      <c r="F208">
        <v>-12.0592873818673</v>
      </c>
      <c r="G208">
        <v>999</v>
      </c>
      <c r="H208">
        <v>86.448331311703896</v>
      </c>
      <c r="I208">
        <v>1327.7227175846101</v>
      </c>
      <c r="J208">
        <v>0.35196182883751598</v>
      </c>
      <c r="K208">
        <v>0.33939745728911902</v>
      </c>
      <c r="L208">
        <v>0.30337300520685301</v>
      </c>
      <c r="M208">
        <v>0.34681220996437401</v>
      </c>
      <c r="N208">
        <v>0.31860821549998303</v>
      </c>
      <c r="O208">
        <v>0.310925284184214</v>
      </c>
      <c r="P208">
        <v>0.30195151486249799</v>
      </c>
      <c r="Q208">
        <v>0.292683054298984</v>
      </c>
      <c r="R208">
        <v>0.28329527672750299</v>
      </c>
      <c r="S208">
        <v>0.27440603927360602</v>
      </c>
      <c r="T208">
        <v>0.26530771733368103</v>
      </c>
      <c r="U208">
        <v>0.25713445819712499</v>
      </c>
      <c r="V208">
        <v>0.25019682093471501</v>
      </c>
      <c r="W208">
        <v>0.24390733575517001</v>
      </c>
      <c r="X208">
        <v>0.23857223476425299</v>
      </c>
      <c r="Y208">
        <v>0.233305545806444</v>
      </c>
      <c r="Z208">
        <v>0.22820718326785699</v>
      </c>
      <c r="AA208">
        <v>0.222633983391749</v>
      </c>
      <c r="AB208">
        <v>0.21780178227771099</v>
      </c>
      <c r="AC208">
        <v>0.21316657778458101</v>
      </c>
      <c r="AD208">
        <v>0.20932796055781999</v>
      </c>
      <c r="AE208">
        <v>0.206507837744553</v>
      </c>
      <c r="AF208">
        <v>0.205014841472451</v>
      </c>
      <c r="AG208">
        <v>0.20406304625615601</v>
      </c>
      <c r="AH208">
        <v>0.20317502708776</v>
      </c>
      <c r="AI208">
        <v>0.202290340388219</v>
      </c>
      <c r="AJ208">
        <v>0.20130050421960399</v>
      </c>
      <c r="AK208">
        <v>0.200405620684458</v>
      </c>
      <c r="AL208">
        <v>0.199549675047798</v>
      </c>
      <c r="AM208">
        <v>0.198722127685977</v>
      </c>
      <c r="AN208">
        <v>0.19790498793751801</v>
      </c>
      <c r="AO208">
        <v>0.197215813812672</v>
      </c>
      <c r="AP208">
        <v>0.196630478392644</v>
      </c>
      <c r="AQ208">
        <v>0.195942435011498</v>
      </c>
      <c r="AR208">
        <v>0.19535302018362199</v>
      </c>
      <c r="AS208">
        <v>0.194825750093709</v>
      </c>
    </row>
    <row r="209" spans="1:45" x14ac:dyDescent="0.3">
      <c r="A209" t="s">
        <v>788</v>
      </c>
      <c r="B209" t="s">
        <v>684</v>
      </c>
      <c r="C209" t="s">
        <v>681</v>
      </c>
      <c r="D209" t="s">
        <v>719</v>
      </c>
      <c r="E209" t="s">
        <v>696</v>
      </c>
      <c r="F209">
        <v>-12.0592873818673</v>
      </c>
      <c r="G209">
        <v>999</v>
      </c>
      <c r="H209">
        <v>999</v>
      </c>
      <c r="I209">
        <v>999</v>
      </c>
      <c r="J209">
        <v>1.0407529771328E-16</v>
      </c>
      <c r="K209">
        <v>2.32073944061995E-16</v>
      </c>
      <c r="L209">
        <v>9.1036781668662999E-17</v>
      </c>
      <c r="M209">
        <v>1.1990778148174299E-16</v>
      </c>
      <c r="N209">
        <v>7.0082023739814797E-17</v>
      </c>
      <c r="O209">
        <v>1.4528632164001499E-16</v>
      </c>
      <c r="P209">
        <v>5.1222741603851299E-18</v>
      </c>
      <c r="Q209">
        <v>1.00117176771164E-16</v>
      </c>
      <c r="R209">
        <v>-9.4994902610778796E-17</v>
      </c>
      <c r="S209">
        <v>-2.1420419216156E-16</v>
      </c>
      <c r="T209">
        <v>1.30385160446167E-17</v>
      </c>
      <c r="U209">
        <v>2.0070001482963601E-16</v>
      </c>
      <c r="V209">
        <v>6.5658241510391201E-17</v>
      </c>
      <c r="W209">
        <v>-2.2072345018386801E-16</v>
      </c>
      <c r="X209">
        <v>-1.27125531435013E-16</v>
      </c>
      <c r="Y209">
        <v>-1.4202669262886E-16</v>
      </c>
      <c r="Z209">
        <v>2.3655593395233201E-16</v>
      </c>
      <c r="AA209">
        <v>-5.7741999626159704E-17</v>
      </c>
      <c r="AB209">
        <v>-2.11410224437714E-16</v>
      </c>
      <c r="AC209">
        <v>-1.72294676303864E-16</v>
      </c>
      <c r="AD209">
        <v>-1.79745256900787E-16</v>
      </c>
      <c r="AE209">
        <v>-8.7544322013855E-17</v>
      </c>
      <c r="AF209">
        <v>1.26659870147705E-16</v>
      </c>
      <c r="AG209">
        <v>7.4505805969238301E-18</v>
      </c>
      <c r="AH209">
        <v>-7.2643160820007297E-17</v>
      </c>
      <c r="AI209">
        <v>9.8720192909240695E-17</v>
      </c>
      <c r="AJ209">
        <v>1.8440186977386499E-16</v>
      </c>
      <c r="AK209">
        <v>0</v>
      </c>
      <c r="AL209">
        <v>-2.7939677238464402E-17</v>
      </c>
      <c r="AM209">
        <v>1.32247805595398E-16</v>
      </c>
      <c r="AN209">
        <v>5.2154064178466802E-17</v>
      </c>
      <c r="AO209">
        <v>-8.1956386566162104E-17</v>
      </c>
      <c r="AP209">
        <v>0</v>
      </c>
      <c r="AQ209">
        <v>-2.6077032089233401E-17</v>
      </c>
      <c r="AR209">
        <v>8.5681676864624002E-17</v>
      </c>
      <c r="AS209">
        <v>2.70083546638489E-17</v>
      </c>
    </row>
    <row r="210" spans="1:45" x14ac:dyDescent="0.3">
      <c r="A210" t="s">
        <v>788</v>
      </c>
      <c r="B210" t="s">
        <v>682</v>
      </c>
      <c r="C210" t="s">
        <v>681</v>
      </c>
      <c r="D210" t="s">
        <v>719</v>
      </c>
      <c r="E210" t="s">
        <v>696</v>
      </c>
      <c r="F210">
        <v>-12.0592873818673</v>
      </c>
      <c r="G210">
        <v>999</v>
      </c>
      <c r="H210">
        <v>999</v>
      </c>
      <c r="I210">
        <v>999</v>
      </c>
      <c r="J210">
        <v>1.0407529771328E-16</v>
      </c>
      <c r="K210">
        <v>2.32073944061995E-16</v>
      </c>
      <c r="L210">
        <v>-9.9651515483856206E-17</v>
      </c>
      <c r="M210">
        <v>-4.6798959374427798E-17</v>
      </c>
      <c r="N210">
        <v>-6.0070306062698403E-17</v>
      </c>
      <c r="O210">
        <v>8.5216015577316302E-17</v>
      </c>
      <c r="P210">
        <v>5.9138983488082904E-17</v>
      </c>
      <c r="Q210">
        <v>-3.1897798180580101E-17</v>
      </c>
      <c r="R210">
        <v>4.8661604523658803E-17</v>
      </c>
      <c r="S210">
        <v>-1.32247805595398E-16</v>
      </c>
      <c r="T210">
        <v>-1.78348273038864E-16</v>
      </c>
      <c r="U210">
        <v>-2.63098627328873E-17</v>
      </c>
      <c r="V210">
        <v>-3.8184225559234597E-17</v>
      </c>
      <c r="W210">
        <v>1.0710209608078E-16</v>
      </c>
      <c r="X210">
        <v>6.1001628637313804E-17</v>
      </c>
      <c r="Y210">
        <v>-1.9930303096771199E-16</v>
      </c>
      <c r="Z210">
        <v>-1.4854595065116899E-16</v>
      </c>
      <c r="AA210">
        <v>-8.2422047853469903E-17</v>
      </c>
      <c r="AB210">
        <v>5.3085386753082301E-17</v>
      </c>
      <c r="AC210">
        <v>6.5192580223083502E-18</v>
      </c>
      <c r="AD210">
        <v>-2.6077032089233401E-17</v>
      </c>
      <c r="AE210">
        <v>-2.3283064365387002E-18</v>
      </c>
      <c r="AF210">
        <v>-5.6345015764236505E-17</v>
      </c>
      <c r="AG210">
        <v>8.0093741416931204E-17</v>
      </c>
      <c r="AH210">
        <v>1.40629708766937E-16</v>
      </c>
      <c r="AI210">
        <v>1.5832483768463101E-17</v>
      </c>
      <c r="AJ210">
        <v>3.7718564271926897E-17</v>
      </c>
      <c r="AK210">
        <v>-8.8475644588470496E-18</v>
      </c>
      <c r="AL210">
        <v>1.06170773506165E-16</v>
      </c>
      <c r="AM210">
        <v>-8.3353370428085303E-17</v>
      </c>
      <c r="AN210">
        <v>9.1269612312316898E-17</v>
      </c>
      <c r="AO210">
        <v>1.2433156371116601E-16</v>
      </c>
      <c r="AP210">
        <v>-5.2154064178466802E-17</v>
      </c>
      <c r="AQ210">
        <v>2.7939677238464402E-17</v>
      </c>
      <c r="AR210">
        <v>1.30385160446167E-17</v>
      </c>
      <c r="AS210">
        <v>-3.7252902984619098E-17</v>
      </c>
    </row>
    <row r="211" spans="1:45" x14ac:dyDescent="0.3">
      <c r="A211" t="s">
        <v>787</v>
      </c>
      <c r="B211" t="s">
        <v>686</v>
      </c>
      <c r="C211" t="s">
        <v>681</v>
      </c>
      <c r="D211" t="s">
        <v>719</v>
      </c>
      <c r="E211" t="s">
        <v>679</v>
      </c>
      <c r="F211">
        <v>11.0586869509512</v>
      </c>
      <c r="G211">
        <v>9.0424130774137002</v>
      </c>
      <c r="H211">
        <v>6.4258836648919804</v>
      </c>
      <c r="I211">
        <v>120.00604403491501</v>
      </c>
      <c r="J211">
        <v>0.102653967425807</v>
      </c>
      <c r="K211">
        <v>8.9450572749789195E-2</v>
      </c>
      <c r="L211">
        <v>7.937890594534E-2</v>
      </c>
      <c r="M211">
        <v>0.103946035944155</v>
      </c>
      <c r="N211">
        <v>9.9791015890318205E-2</v>
      </c>
      <c r="O211">
        <v>9.1119621907133602E-2</v>
      </c>
      <c r="P211">
        <v>8.8271289974663394E-2</v>
      </c>
      <c r="Q211">
        <v>8.5445381103869497E-2</v>
      </c>
      <c r="R211">
        <v>8.2686427993358694E-2</v>
      </c>
      <c r="S211">
        <v>7.9872989647039802E-2</v>
      </c>
      <c r="T211">
        <v>7.7147853727198595E-2</v>
      </c>
      <c r="U211">
        <v>7.4600117025270404E-2</v>
      </c>
      <c r="V211">
        <v>7.2296221759654597E-2</v>
      </c>
      <c r="W211">
        <v>7.0056384990246898E-2</v>
      </c>
      <c r="X211">
        <v>6.7903701391313007E-2</v>
      </c>
      <c r="Y211">
        <v>6.5756170769813604E-2</v>
      </c>
      <c r="Z211">
        <v>6.3670432009250599E-2</v>
      </c>
      <c r="AA211">
        <v>6.1598171873292598E-2</v>
      </c>
      <c r="AB211">
        <v>5.9508511965163297E-2</v>
      </c>
      <c r="AC211">
        <v>5.7497395828288E-2</v>
      </c>
      <c r="AD211">
        <v>5.55400627689253E-2</v>
      </c>
      <c r="AE211">
        <v>5.3610021040300902E-2</v>
      </c>
      <c r="AF211">
        <v>5.1732758571935697E-2</v>
      </c>
      <c r="AG211">
        <v>4.99197963476153E-2</v>
      </c>
      <c r="AH211">
        <v>4.8149737300463097E-2</v>
      </c>
      <c r="AI211">
        <v>4.6390016320466902E-2</v>
      </c>
      <c r="AJ211">
        <v>4.4659280895608403E-2</v>
      </c>
      <c r="AK211">
        <v>4.2964076903595598E-2</v>
      </c>
      <c r="AL211">
        <v>4.12808696739176E-2</v>
      </c>
      <c r="AM211">
        <v>3.9625069152518899E-2</v>
      </c>
      <c r="AN211">
        <v>3.7991061580274203E-2</v>
      </c>
      <c r="AO211">
        <v>3.63847893802711E-2</v>
      </c>
      <c r="AP211">
        <v>3.4791883633500401E-2</v>
      </c>
      <c r="AQ211">
        <v>3.3231137950569499E-2</v>
      </c>
      <c r="AR211">
        <v>3.1673853495669597E-2</v>
      </c>
      <c r="AS211">
        <v>3.0153376516933901E-2</v>
      </c>
    </row>
    <row r="212" spans="1:45" x14ac:dyDescent="0.3">
      <c r="A212" t="s">
        <v>787</v>
      </c>
      <c r="B212" t="s">
        <v>685</v>
      </c>
      <c r="C212" t="s">
        <v>681</v>
      </c>
      <c r="D212" t="s">
        <v>719</v>
      </c>
      <c r="E212" t="s">
        <v>679</v>
      </c>
      <c r="F212">
        <v>11.0586869509512</v>
      </c>
      <c r="G212">
        <v>9.0424130774137002</v>
      </c>
      <c r="H212">
        <v>6.4258836648919804</v>
      </c>
      <c r="I212">
        <v>120.00604403491501</v>
      </c>
      <c r="J212">
        <v>0.101148375903561</v>
      </c>
      <c r="K212">
        <v>8.68529281171352E-2</v>
      </c>
      <c r="L212">
        <v>7.5932803041899699E-2</v>
      </c>
      <c r="M212">
        <v>9.7939341013728601E-2</v>
      </c>
      <c r="N212">
        <v>9.2590096183672699E-2</v>
      </c>
      <c r="O212">
        <v>8.3234737291436295E-2</v>
      </c>
      <c r="P212">
        <v>7.9364128340953397E-2</v>
      </c>
      <c r="Q212">
        <v>7.5595237570215496E-2</v>
      </c>
      <c r="R212">
        <v>7.1965856982593002E-2</v>
      </c>
      <c r="S212">
        <v>6.8369149191475506E-2</v>
      </c>
      <c r="T212">
        <v>6.4927633696810302E-2</v>
      </c>
      <c r="U212">
        <v>6.1711206139757703E-2</v>
      </c>
      <c r="V212">
        <v>5.8766224844741102E-2</v>
      </c>
      <c r="W212">
        <v>5.59386222870124E-2</v>
      </c>
      <c r="X212">
        <v>5.3243744952271098E-2</v>
      </c>
      <c r="Y212">
        <v>5.0614716513884501E-2</v>
      </c>
      <c r="Z212">
        <v>4.8094097522507602E-2</v>
      </c>
      <c r="AA212">
        <v>4.5643424049151497E-2</v>
      </c>
      <c r="AB212">
        <v>4.3239678240713897E-2</v>
      </c>
      <c r="AC212">
        <v>4.0951945204739902E-2</v>
      </c>
      <c r="AD212">
        <v>3.8759558471007399E-2</v>
      </c>
      <c r="AE212">
        <v>3.66420919809054E-2</v>
      </c>
      <c r="AF212">
        <v>3.4615423415653601E-2</v>
      </c>
      <c r="AG212">
        <v>3.2684820259279899E-2</v>
      </c>
      <c r="AH212">
        <v>3.08338077742219E-2</v>
      </c>
      <c r="AI212">
        <v>2.9040150216612302E-2</v>
      </c>
      <c r="AJ212">
        <v>2.7314807109911299E-2</v>
      </c>
      <c r="AK212">
        <v>2.5660438144262099E-2</v>
      </c>
      <c r="AL212">
        <v>2.4061793315533101E-2</v>
      </c>
      <c r="AM212">
        <v>2.2527115980334699E-2</v>
      </c>
      <c r="AN212">
        <v>2.1052113590349301E-2</v>
      </c>
      <c r="AO212">
        <v>1.96390539158952E-2</v>
      </c>
      <c r="AP212">
        <v>1.8279191769259299E-2</v>
      </c>
      <c r="AQ212">
        <v>1.69815545745804E-2</v>
      </c>
      <c r="AR212">
        <v>1.5730502600089399E-2</v>
      </c>
      <c r="AS212">
        <v>1.4541968381566701E-2</v>
      </c>
    </row>
    <row r="213" spans="1:45" x14ac:dyDescent="0.3">
      <c r="A213" t="s">
        <v>787</v>
      </c>
      <c r="B213" t="s">
        <v>684</v>
      </c>
      <c r="C213" t="s">
        <v>681</v>
      </c>
      <c r="D213" t="s">
        <v>719</v>
      </c>
      <c r="E213" t="s">
        <v>679</v>
      </c>
      <c r="F213">
        <v>11.0586869509512</v>
      </c>
      <c r="G213">
        <v>9.0424130774137002</v>
      </c>
      <c r="H213">
        <v>8.5141124602781808</v>
      </c>
      <c r="I213">
        <v>158.911556399777</v>
      </c>
      <c r="J213">
        <v>6.3875721403725494E-2</v>
      </c>
      <c r="K213">
        <v>5.60694131618679E-2</v>
      </c>
      <c r="L213">
        <v>5.0941705933255997E-2</v>
      </c>
      <c r="M213">
        <v>6.8378472630404599E-2</v>
      </c>
      <c r="N213">
        <v>6.6291898693033702E-2</v>
      </c>
      <c r="O213">
        <v>6.0071477682716402E-2</v>
      </c>
      <c r="P213">
        <v>5.77568475472304E-2</v>
      </c>
      <c r="Q213">
        <v>5.5506649243567803E-2</v>
      </c>
      <c r="R213">
        <v>5.3417734559936599E-2</v>
      </c>
      <c r="S213">
        <v>5.13379069773248E-2</v>
      </c>
      <c r="T213">
        <v>4.9257519457973797E-2</v>
      </c>
      <c r="U213">
        <v>4.7333496828744201E-2</v>
      </c>
      <c r="V213">
        <v>4.5607721574430903E-2</v>
      </c>
      <c r="W213">
        <v>4.3955299780539699E-2</v>
      </c>
      <c r="X213">
        <v>4.2416372156995501E-2</v>
      </c>
      <c r="Y213">
        <v>4.07003988464711E-2</v>
      </c>
      <c r="Z213">
        <v>3.9040865942538E-2</v>
      </c>
      <c r="AA213">
        <v>3.7342186947435102E-2</v>
      </c>
      <c r="AB213">
        <v>3.5728826809269601E-2</v>
      </c>
      <c r="AC213">
        <v>3.4171693061982297E-2</v>
      </c>
      <c r="AD213">
        <v>3.2708862588553198E-2</v>
      </c>
      <c r="AE213">
        <v>3.1557461797726498E-2</v>
      </c>
      <c r="AF213">
        <v>3.0050256825317301E-2</v>
      </c>
      <c r="AG213">
        <v>2.86340834787841E-2</v>
      </c>
      <c r="AH213">
        <v>2.7481033687559098E-2</v>
      </c>
      <c r="AI213">
        <v>2.6402626863898399E-2</v>
      </c>
      <c r="AJ213">
        <v>2.5383636090584399E-2</v>
      </c>
      <c r="AK213">
        <v>2.4437590605526499E-2</v>
      </c>
      <c r="AL213">
        <v>2.3500261563991001E-2</v>
      </c>
      <c r="AM213">
        <v>2.2597736423906199E-2</v>
      </c>
      <c r="AN213">
        <v>2.1689508289249999E-2</v>
      </c>
      <c r="AO213">
        <v>2.07819386542001E-2</v>
      </c>
      <c r="AP213">
        <v>1.9868149282535399E-2</v>
      </c>
      <c r="AQ213">
        <v>1.8940186840842199E-2</v>
      </c>
      <c r="AR213">
        <v>1.8031181907306199E-2</v>
      </c>
      <c r="AS213">
        <v>1.71287828029279E-2</v>
      </c>
    </row>
    <row r="214" spans="1:45" x14ac:dyDescent="0.3">
      <c r="A214" t="s">
        <v>787</v>
      </c>
      <c r="B214" t="s">
        <v>682</v>
      </c>
      <c r="C214" t="s">
        <v>681</v>
      </c>
      <c r="D214" t="s">
        <v>719</v>
      </c>
      <c r="E214" t="s">
        <v>679</v>
      </c>
      <c r="F214">
        <v>11.0586869509512</v>
      </c>
      <c r="G214">
        <v>9.0424130774137002</v>
      </c>
      <c r="H214">
        <v>8.5141124602781808</v>
      </c>
      <c r="I214">
        <v>158.911556399777</v>
      </c>
      <c r="J214">
        <v>6.2013472146056597E-2</v>
      </c>
      <c r="K214">
        <v>5.29032388688064E-2</v>
      </c>
      <c r="L214">
        <v>4.6809015582182298E-2</v>
      </c>
      <c r="M214">
        <v>6.1326714416348502E-2</v>
      </c>
      <c r="N214">
        <v>5.7981018946265603E-2</v>
      </c>
      <c r="O214">
        <v>5.1083665800834503E-2</v>
      </c>
      <c r="P214">
        <v>4.7753785097967301E-2</v>
      </c>
      <c r="Q214">
        <v>4.4622800448476399E-2</v>
      </c>
      <c r="R214">
        <v>4.1774701086662397E-2</v>
      </c>
      <c r="S214">
        <v>3.90940460932543E-2</v>
      </c>
      <c r="T214">
        <v>3.6505054690914897E-2</v>
      </c>
      <c r="U214">
        <v>3.41440217453911E-2</v>
      </c>
      <c r="V214">
        <v>3.2031293614551301E-2</v>
      </c>
      <c r="W214">
        <v>3.0062696428147202E-2</v>
      </c>
      <c r="X214">
        <v>2.82701789100097E-2</v>
      </c>
      <c r="Y214">
        <v>2.6371542767536199E-2</v>
      </c>
      <c r="Z214">
        <v>2.4592467532134999E-2</v>
      </c>
      <c r="AA214">
        <v>2.2848851791178602E-2</v>
      </c>
      <c r="AB214">
        <v>2.1255723156510999E-2</v>
      </c>
      <c r="AC214">
        <v>1.9766139811623E-2</v>
      </c>
      <c r="AD214">
        <v>1.8416068380039299E-2</v>
      </c>
      <c r="AE214">
        <v>1.7423501226425098E-2</v>
      </c>
      <c r="AF214">
        <v>1.61578751222516E-2</v>
      </c>
      <c r="AG214">
        <v>1.50093953390311E-2</v>
      </c>
      <c r="AH214">
        <v>1.4126483427815299E-2</v>
      </c>
      <c r="AI214">
        <v>1.33081062424054E-2</v>
      </c>
      <c r="AJ214">
        <v>1.2550335171596001E-2</v>
      </c>
      <c r="AK214">
        <v>1.18458399704576E-2</v>
      </c>
      <c r="AL214">
        <v>1.11626128026914E-2</v>
      </c>
      <c r="AM214">
        <v>1.05208509838322E-2</v>
      </c>
      <c r="AN214">
        <v>9.8911505798405398E-3</v>
      </c>
      <c r="AO214">
        <v>9.2757040294056594E-3</v>
      </c>
      <c r="AP214">
        <v>8.6726625902318506E-3</v>
      </c>
      <c r="AQ214">
        <v>8.0748038934571296E-3</v>
      </c>
      <c r="AR214">
        <v>7.5008256459152597E-3</v>
      </c>
      <c r="AS214">
        <v>6.9451955043028498E-3</v>
      </c>
    </row>
    <row r="215" spans="1:45" x14ac:dyDescent="0.3">
      <c r="A215" t="s">
        <v>786</v>
      </c>
      <c r="B215" t="s">
        <v>686</v>
      </c>
      <c r="C215" t="s">
        <v>681</v>
      </c>
      <c r="D215" t="s">
        <v>719</v>
      </c>
      <c r="E215" t="s">
        <v>679</v>
      </c>
      <c r="F215">
        <v>999</v>
      </c>
      <c r="G215">
        <v>0</v>
      </c>
      <c r="H215">
        <v>999</v>
      </c>
      <c r="I215">
        <v>999</v>
      </c>
      <c r="J215">
        <v>2.42125317945341E-3</v>
      </c>
      <c r="K215">
        <v>4.4766792919808699E-3</v>
      </c>
      <c r="L215">
        <v>6.2121375738883999E-3</v>
      </c>
      <c r="M215">
        <v>1.13092826739561E-2</v>
      </c>
      <c r="N215">
        <v>1.4128431839354199E-2</v>
      </c>
      <c r="O215">
        <v>1.5777237378927101E-2</v>
      </c>
      <c r="P215">
        <v>1.81261242465031E-2</v>
      </c>
      <c r="Q215">
        <v>2.033765263255E-2</v>
      </c>
      <c r="R215">
        <v>2.24312623649074E-2</v>
      </c>
      <c r="S215">
        <v>2.4385620694863899E-2</v>
      </c>
      <c r="T215">
        <v>2.6268122741444501E-2</v>
      </c>
      <c r="U215">
        <v>2.81452632343017E-2</v>
      </c>
      <c r="V215">
        <v>3.00645860665643E-2</v>
      </c>
      <c r="W215">
        <v>3.19633220307739E-2</v>
      </c>
      <c r="X215">
        <v>3.3847198226803203E-2</v>
      </c>
      <c r="Y215">
        <v>3.5675908525831301E-2</v>
      </c>
      <c r="Z215">
        <v>3.7483521265952197E-2</v>
      </c>
      <c r="AA215">
        <v>3.9233023223212302E-2</v>
      </c>
      <c r="AB215">
        <v>4.0900768322598501E-2</v>
      </c>
      <c r="AC215">
        <v>4.2541627093957701E-2</v>
      </c>
      <c r="AD215">
        <v>4.4135465654111097E-2</v>
      </c>
      <c r="AE215">
        <v>4.5667557056791701E-2</v>
      </c>
      <c r="AF215">
        <v>4.7164616080724003E-2</v>
      </c>
      <c r="AG215">
        <v>4.8653388416302797E-2</v>
      </c>
      <c r="AH215">
        <v>5.0126729588205701E-2</v>
      </c>
      <c r="AI215">
        <v>5.1558840498501297E-2</v>
      </c>
      <c r="AJ215">
        <v>5.29601256186117E-2</v>
      </c>
      <c r="AK215">
        <v>5.4341558765593601E-2</v>
      </c>
      <c r="AL215">
        <v>5.5673918282279203E-2</v>
      </c>
      <c r="AM215">
        <v>5.6976929354378703E-2</v>
      </c>
      <c r="AN215">
        <v>5.8249740132052398E-2</v>
      </c>
      <c r="AO215">
        <v>5.9499884898653002E-2</v>
      </c>
      <c r="AP215">
        <v>6.0704208831644103E-2</v>
      </c>
      <c r="AQ215">
        <v>6.1890401398690502E-2</v>
      </c>
      <c r="AR215">
        <v>6.3001322332673498E-2</v>
      </c>
      <c r="AS215">
        <v>6.4093506675065096E-2</v>
      </c>
    </row>
    <row r="216" spans="1:45" x14ac:dyDescent="0.3">
      <c r="A216" t="s">
        <v>786</v>
      </c>
      <c r="B216" t="s">
        <v>685</v>
      </c>
      <c r="C216" t="s">
        <v>681</v>
      </c>
      <c r="D216" t="s">
        <v>719</v>
      </c>
      <c r="E216" t="s">
        <v>679</v>
      </c>
      <c r="F216">
        <v>999</v>
      </c>
      <c r="G216">
        <v>0</v>
      </c>
      <c r="H216">
        <v>999</v>
      </c>
      <c r="I216">
        <v>999</v>
      </c>
      <c r="J216">
        <v>2.42125317945341E-3</v>
      </c>
      <c r="K216">
        <v>4.4766792919808699E-3</v>
      </c>
      <c r="L216">
        <v>6.2186766660714404E-3</v>
      </c>
      <c r="M216">
        <v>1.13392884691815E-2</v>
      </c>
      <c r="N216">
        <v>1.4205534639593899E-2</v>
      </c>
      <c r="O216">
        <v>1.59285498901762E-2</v>
      </c>
      <c r="P216">
        <v>1.8401735564076701E-2</v>
      </c>
      <c r="Q216">
        <v>2.0776290268236301E-2</v>
      </c>
      <c r="R216">
        <v>2.3097646596300401E-2</v>
      </c>
      <c r="S216">
        <v>2.5388203248833102E-2</v>
      </c>
      <c r="T216">
        <v>2.7676743931969599E-2</v>
      </c>
      <c r="U216">
        <v>3.0040420357174601E-2</v>
      </c>
      <c r="V216">
        <v>3.2492925630102899E-2</v>
      </c>
      <c r="W216">
        <v>3.5016426087714901E-2</v>
      </c>
      <c r="X216">
        <v>3.7628060335450603E-2</v>
      </c>
      <c r="Y216">
        <v>4.0294860051167503E-2</v>
      </c>
      <c r="Z216">
        <v>4.3068027436796601E-2</v>
      </c>
      <c r="AA216">
        <v>4.5920306371892899E-2</v>
      </c>
      <c r="AB216">
        <v>4.8839614887105802E-2</v>
      </c>
      <c r="AC216">
        <v>5.1910066706000998E-2</v>
      </c>
      <c r="AD216">
        <v>5.5131691041808498E-2</v>
      </c>
      <c r="AE216">
        <v>5.8514163363749899E-2</v>
      </c>
      <c r="AF216">
        <v>6.2126146462821601E-2</v>
      </c>
      <c r="AG216">
        <v>6.6049001742128896E-2</v>
      </c>
      <c r="AH216">
        <v>7.0333721622803894E-2</v>
      </c>
      <c r="AI216">
        <v>7.4646013370664593E-2</v>
      </c>
      <c r="AJ216">
        <v>7.8992920258241395E-2</v>
      </c>
      <c r="AK216">
        <v>8.3779659892596101E-2</v>
      </c>
      <c r="AL216">
        <v>8.8571027576359901E-2</v>
      </c>
      <c r="AM216">
        <v>9.3389248512884507E-2</v>
      </c>
      <c r="AN216">
        <v>9.8225945791622596E-2</v>
      </c>
      <c r="AO216">
        <v>0.103087361975098</v>
      </c>
      <c r="AP216">
        <v>0.107926788434308</v>
      </c>
      <c r="AQ216">
        <v>0.112786252758785</v>
      </c>
      <c r="AR216">
        <v>0.117554635440366</v>
      </c>
      <c r="AS216">
        <v>0.122328179847374</v>
      </c>
    </row>
    <row r="217" spans="1:45" x14ac:dyDescent="0.3">
      <c r="A217" t="s">
        <v>786</v>
      </c>
      <c r="B217" t="s">
        <v>684</v>
      </c>
      <c r="C217" t="s">
        <v>681</v>
      </c>
      <c r="D217" t="s">
        <v>719</v>
      </c>
      <c r="E217" t="s">
        <v>679</v>
      </c>
      <c r="F217">
        <v>999</v>
      </c>
      <c r="G217">
        <v>0</v>
      </c>
      <c r="H217">
        <v>999</v>
      </c>
      <c r="I217">
        <v>999</v>
      </c>
      <c r="J217">
        <v>1.1400411265219601E-3</v>
      </c>
      <c r="K217">
        <v>2.8160826947518699E-3</v>
      </c>
      <c r="L217">
        <v>4.3537980711926697E-3</v>
      </c>
      <c r="M217">
        <v>7.74987888635543E-3</v>
      </c>
      <c r="N217">
        <v>9.4936497697797207E-3</v>
      </c>
      <c r="O217">
        <v>1.03908417496312E-2</v>
      </c>
      <c r="P217">
        <v>1.16920729882143E-2</v>
      </c>
      <c r="Q217">
        <v>1.28739912384072E-2</v>
      </c>
      <c r="R217">
        <v>1.39624338869622E-2</v>
      </c>
      <c r="S217">
        <v>1.4925557387562899E-2</v>
      </c>
      <c r="T217">
        <v>1.5822837347135799E-2</v>
      </c>
      <c r="U217">
        <v>1.6695680089286801E-2</v>
      </c>
      <c r="V217">
        <v>1.7571331950482199E-2</v>
      </c>
      <c r="W217">
        <v>1.84052924665533E-2</v>
      </c>
      <c r="X217">
        <v>1.9196617766565002E-2</v>
      </c>
      <c r="Y217">
        <v>1.9791646235620498E-2</v>
      </c>
      <c r="Z217">
        <v>2.0322240830071801E-2</v>
      </c>
      <c r="AA217">
        <v>2.0742623224370298E-2</v>
      </c>
      <c r="AB217">
        <v>2.1026782991107801E-2</v>
      </c>
      <c r="AC217">
        <v>2.11814992254265E-2</v>
      </c>
      <c r="AD217">
        <v>2.1171972221663799E-2</v>
      </c>
      <c r="AE217">
        <v>2.09266441167721E-2</v>
      </c>
      <c r="AF217">
        <v>2.03592313623128E-2</v>
      </c>
      <c r="AG217">
        <v>1.9344339657651598E-2</v>
      </c>
      <c r="AH217">
        <v>1.7643155922209101E-2</v>
      </c>
      <c r="AI217">
        <v>1.5145070208157601E-2</v>
      </c>
      <c r="AJ217">
        <v>1.14870168349258E-2</v>
      </c>
      <c r="AK217">
        <v>5.1860012498316996E-3</v>
      </c>
      <c r="AL217">
        <v>3.1434462074780298E-3</v>
      </c>
      <c r="AM217">
        <v>7.2966748956749296E-3</v>
      </c>
      <c r="AN217">
        <v>1.29884913560563E-2</v>
      </c>
      <c r="AO217">
        <v>1.76134503317876E-2</v>
      </c>
      <c r="AP217">
        <v>2.1487033012255401E-2</v>
      </c>
      <c r="AQ217">
        <v>2.4153704954117099E-2</v>
      </c>
      <c r="AR217">
        <v>2.6391367616698101E-2</v>
      </c>
      <c r="AS217">
        <v>2.8338673803085499E-2</v>
      </c>
    </row>
    <row r="218" spans="1:45" x14ac:dyDescent="0.3">
      <c r="A218" t="s">
        <v>786</v>
      </c>
      <c r="B218" t="s">
        <v>682</v>
      </c>
      <c r="C218" t="s">
        <v>681</v>
      </c>
      <c r="D218" t="s">
        <v>719</v>
      </c>
      <c r="E218" t="s">
        <v>679</v>
      </c>
      <c r="F218">
        <v>999</v>
      </c>
      <c r="G218">
        <v>0</v>
      </c>
      <c r="H218">
        <v>999</v>
      </c>
      <c r="I218">
        <v>999</v>
      </c>
      <c r="J218">
        <v>8.2313323327218801E-4</v>
      </c>
      <c r="K218">
        <v>2.4127541660128701E-3</v>
      </c>
      <c r="L218">
        <v>3.9452129557363104E-3</v>
      </c>
      <c r="M218">
        <v>7.2053974089953503E-3</v>
      </c>
      <c r="N218">
        <v>8.9263789809661907E-3</v>
      </c>
      <c r="O218">
        <v>9.8110924340704606E-3</v>
      </c>
      <c r="P218">
        <v>1.1069956459274E-2</v>
      </c>
      <c r="Q218">
        <v>1.22268304742048E-2</v>
      </c>
      <c r="R218">
        <v>1.3329140262021401E-2</v>
      </c>
      <c r="S218">
        <v>1.43754010632051E-2</v>
      </c>
      <c r="T218">
        <v>1.5391178418388199E-2</v>
      </c>
      <c r="U218">
        <v>1.6422772785042301E-2</v>
      </c>
      <c r="V218">
        <v>1.7476592363292399E-2</v>
      </c>
      <c r="W218">
        <v>1.85339821132731E-2</v>
      </c>
      <c r="X218">
        <v>1.9599898083443999E-2</v>
      </c>
      <c r="Y218">
        <v>2.0462256781704002E-2</v>
      </c>
      <c r="Z218">
        <v>2.1316045878292601E-2</v>
      </c>
      <c r="AA218">
        <v>2.2111702007997301E-2</v>
      </c>
      <c r="AB218">
        <v>2.2821009253156398E-2</v>
      </c>
      <c r="AC218">
        <v>2.3453096122200701E-2</v>
      </c>
      <c r="AD218">
        <v>2.39733454710328E-2</v>
      </c>
      <c r="AE218">
        <v>2.4290273219402699E-2</v>
      </c>
      <c r="AF218">
        <v>2.4282109079695399E-2</v>
      </c>
      <c r="AG218">
        <v>2.3771105744517001E-2</v>
      </c>
      <c r="AH218">
        <v>2.24102487176694E-2</v>
      </c>
      <c r="AI218">
        <v>1.9854023136973601E-2</v>
      </c>
      <c r="AJ218">
        <v>1.55279250720439E-2</v>
      </c>
      <c r="AK218">
        <v>7.27897476712807E-3</v>
      </c>
      <c r="AL218">
        <v>4.6456765555441502E-3</v>
      </c>
      <c r="AM218">
        <v>1.0942370675496801E-2</v>
      </c>
      <c r="AN218">
        <v>1.9914965664103699E-2</v>
      </c>
      <c r="AO218">
        <v>2.7685682415368298E-2</v>
      </c>
      <c r="AP218">
        <v>3.4596383361766701E-2</v>
      </c>
      <c r="AQ218">
        <v>3.9810628574107901E-2</v>
      </c>
      <c r="AR218">
        <v>4.4493992397389999E-2</v>
      </c>
      <c r="AS218">
        <v>4.8831227035599598E-2</v>
      </c>
    </row>
    <row r="219" spans="1:45" x14ac:dyDescent="0.3">
      <c r="A219" t="s">
        <v>785</v>
      </c>
      <c r="B219" t="s">
        <v>686</v>
      </c>
      <c r="C219" t="s">
        <v>681</v>
      </c>
      <c r="D219" t="s">
        <v>719</v>
      </c>
      <c r="E219" t="s">
        <v>746</v>
      </c>
      <c r="F219">
        <v>3.8993350879110702</v>
      </c>
      <c r="G219">
        <v>14.160125300058899</v>
      </c>
      <c r="H219">
        <v>15.6257565869586</v>
      </c>
      <c r="I219">
        <v>384.37677625950698</v>
      </c>
      <c r="J219">
        <v>0.11366870600238101</v>
      </c>
      <c r="K219">
        <v>0.120998051097726</v>
      </c>
      <c r="L219">
        <v>0.115065716192726</v>
      </c>
      <c r="M219">
        <v>0.12478654444778201</v>
      </c>
      <c r="N219">
        <v>0.115778430703429</v>
      </c>
      <c r="O219">
        <v>0.12670156859920301</v>
      </c>
      <c r="P219">
        <v>0.129437748552719</v>
      </c>
      <c r="Q219">
        <v>0.131673018414662</v>
      </c>
      <c r="R219">
        <v>0.13361508662423399</v>
      </c>
      <c r="S219">
        <v>0.13564183643375899</v>
      </c>
      <c r="T219">
        <v>0.13704006699288701</v>
      </c>
      <c r="U219">
        <v>0.13861303149554199</v>
      </c>
      <c r="V219">
        <v>0.140571934867565</v>
      </c>
      <c r="W219">
        <v>0.14280731655722301</v>
      </c>
      <c r="X219">
        <v>0.145533793660448</v>
      </c>
      <c r="Y219">
        <v>0.14805422768542101</v>
      </c>
      <c r="Z219">
        <v>0.15046960933162501</v>
      </c>
      <c r="AA219">
        <v>0.152319270076228</v>
      </c>
      <c r="AB219">
        <v>0.15461944660233601</v>
      </c>
      <c r="AC219">
        <v>0.15686795898165501</v>
      </c>
      <c r="AD219">
        <v>0.15933856997811</v>
      </c>
      <c r="AE219">
        <v>0.161849384346234</v>
      </c>
      <c r="AF219">
        <v>0.16417543915100299</v>
      </c>
      <c r="AG219">
        <v>0.166578249265045</v>
      </c>
      <c r="AH219">
        <v>0.169145743102074</v>
      </c>
      <c r="AI219">
        <v>0.17181335947297099</v>
      </c>
      <c r="AJ219">
        <v>0.174319837467483</v>
      </c>
      <c r="AK219">
        <v>0.17698296698963001</v>
      </c>
      <c r="AL219">
        <v>0.17970046157337</v>
      </c>
      <c r="AM219">
        <v>0.182433957672194</v>
      </c>
      <c r="AN219">
        <v>0.18517507003758099</v>
      </c>
      <c r="AO219">
        <v>0.188074439702792</v>
      </c>
      <c r="AP219">
        <v>0.19106874818032901</v>
      </c>
      <c r="AQ219">
        <v>0.19392928478719901</v>
      </c>
      <c r="AR219">
        <v>0.197035232134606</v>
      </c>
      <c r="AS219">
        <v>0.20028415268278901</v>
      </c>
    </row>
    <row r="220" spans="1:45" x14ac:dyDescent="0.3">
      <c r="A220" t="s">
        <v>785</v>
      </c>
      <c r="B220" t="s">
        <v>685</v>
      </c>
      <c r="C220" t="s">
        <v>681</v>
      </c>
      <c r="D220" t="s">
        <v>719</v>
      </c>
      <c r="E220" t="s">
        <v>746</v>
      </c>
      <c r="F220">
        <v>3.8993350879110702</v>
      </c>
      <c r="G220">
        <v>14.160125300058899</v>
      </c>
      <c r="H220">
        <v>15.6257565869586</v>
      </c>
      <c r="I220">
        <v>384.37677625950698</v>
      </c>
      <c r="J220">
        <v>0.11366870600238101</v>
      </c>
      <c r="K220">
        <v>0.120998051097726</v>
      </c>
      <c r="L220">
        <v>0.113722313948948</v>
      </c>
      <c r="M220">
        <v>0.122048185476515</v>
      </c>
      <c r="N220">
        <v>0.112160525185716</v>
      </c>
      <c r="O220">
        <v>0.121718730883665</v>
      </c>
      <c r="P220">
        <v>0.123412746073412</v>
      </c>
      <c r="Q220">
        <v>0.124699897060898</v>
      </c>
      <c r="R220">
        <v>0.125779298724078</v>
      </c>
      <c r="S220">
        <v>0.12700497700853899</v>
      </c>
      <c r="T220">
        <v>0.127710000055132</v>
      </c>
      <c r="U220">
        <v>0.12863858471343301</v>
      </c>
      <c r="V220">
        <v>0.129986967014492</v>
      </c>
      <c r="W220">
        <v>0.13164731438917901</v>
      </c>
      <c r="X220">
        <v>0.133809989986969</v>
      </c>
      <c r="Y220">
        <v>0.135837554966105</v>
      </c>
      <c r="Z220">
        <v>0.137818349655628</v>
      </c>
      <c r="AA220">
        <v>0.139329734774293</v>
      </c>
      <c r="AB220">
        <v>0.141298306071375</v>
      </c>
      <c r="AC220">
        <v>0.143353892007306</v>
      </c>
      <c r="AD220">
        <v>0.14581264859663901</v>
      </c>
      <c r="AE220">
        <v>0.14829569614384699</v>
      </c>
      <c r="AF220">
        <v>0.15061419469360601</v>
      </c>
      <c r="AG220">
        <v>0.153167193729321</v>
      </c>
      <c r="AH220">
        <v>0.15587393142386799</v>
      </c>
      <c r="AI220">
        <v>0.15869548979624501</v>
      </c>
      <c r="AJ220">
        <v>0.16137679489783099</v>
      </c>
      <c r="AK220">
        <v>0.164212531337561</v>
      </c>
      <c r="AL220">
        <v>0.167109797058797</v>
      </c>
      <c r="AM220">
        <v>0.17002921515486999</v>
      </c>
      <c r="AN220">
        <v>0.172962064899634</v>
      </c>
      <c r="AO220">
        <v>0.176048152392663</v>
      </c>
      <c r="AP220">
        <v>0.17922552852689799</v>
      </c>
      <c r="AQ220">
        <v>0.18227964987610701</v>
      </c>
      <c r="AR220">
        <v>0.185565055583744</v>
      </c>
      <c r="AS220">
        <v>0.18898423086081001</v>
      </c>
    </row>
    <row r="221" spans="1:45" x14ac:dyDescent="0.3">
      <c r="A221" t="s">
        <v>785</v>
      </c>
      <c r="B221" t="s">
        <v>684</v>
      </c>
      <c r="C221" t="s">
        <v>681</v>
      </c>
      <c r="D221" t="s">
        <v>719</v>
      </c>
      <c r="E221" t="s">
        <v>746</v>
      </c>
      <c r="F221">
        <v>3.8993350879110702</v>
      </c>
      <c r="G221">
        <v>14.160125300058899</v>
      </c>
      <c r="H221">
        <v>27.314034477701501</v>
      </c>
      <c r="I221">
        <v>671.89581898020401</v>
      </c>
      <c r="J221">
        <v>1.52228688005596E-2</v>
      </c>
      <c r="K221">
        <v>1.6205056737913701E-2</v>
      </c>
      <c r="L221">
        <v>8.7737469117439196E-2</v>
      </c>
      <c r="M221">
        <v>9.5904612602211503E-2</v>
      </c>
      <c r="N221">
        <v>8.9441404180415102E-2</v>
      </c>
      <c r="O221">
        <v>9.8085278478974594E-2</v>
      </c>
      <c r="P221">
        <v>0.10033958064498601</v>
      </c>
      <c r="Q221">
        <v>0.102180110585277</v>
      </c>
      <c r="R221">
        <v>0.103771255186734</v>
      </c>
      <c r="S221">
        <v>0.10547958670916301</v>
      </c>
      <c r="T221">
        <v>0.10665193467090101</v>
      </c>
      <c r="U221">
        <v>0.107945272308513</v>
      </c>
      <c r="V221">
        <v>0.10952110805837501</v>
      </c>
      <c r="W221">
        <v>0.111296713878328</v>
      </c>
      <c r="X221">
        <v>0.113443976980453</v>
      </c>
      <c r="Y221">
        <v>0.11562466336278</v>
      </c>
      <c r="Z221">
        <v>0.117738160802733</v>
      </c>
      <c r="AA221">
        <v>0.11940470517440201</v>
      </c>
      <c r="AB221">
        <v>0.121332679233263</v>
      </c>
      <c r="AC221">
        <v>0.12318739436357</v>
      </c>
      <c r="AD221">
        <v>0.12526699322811599</v>
      </c>
      <c r="AE221">
        <v>0.127525119971995</v>
      </c>
      <c r="AF221">
        <v>0.129721653144799</v>
      </c>
      <c r="AG221">
        <v>0.131875862505626</v>
      </c>
      <c r="AH221">
        <v>0.13429077382737001</v>
      </c>
      <c r="AI221">
        <v>0.13677787279231299</v>
      </c>
      <c r="AJ221">
        <v>0.13896412263175101</v>
      </c>
      <c r="AK221">
        <v>0.141331757742055</v>
      </c>
      <c r="AL221">
        <v>0.14374730268045399</v>
      </c>
      <c r="AM221">
        <v>0.14618772488213999</v>
      </c>
      <c r="AN221">
        <v>0.148660601435534</v>
      </c>
      <c r="AO221">
        <v>0.1512541142627</v>
      </c>
      <c r="AP221">
        <v>0.153928747266006</v>
      </c>
      <c r="AQ221">
        <v>0.15628144799572699</v>
      </c>
      <c r="AR221">
        <v>0.15850510039167001</v>
      </c>
      <c r="AS221">
        <v>0.16084534844793499</v>
      </c>
    </row>
    <row r="222" spans="1:45" x14ac:dyDescent="0.3">
      <c r="A222" t="s">
        <v>785</v>
      </c>
      <c r="B222" t="s">
        <v>682</v>
      </c>
      <c r="C222" t="s">
        <v>681</v>
      </c>
      <c r="D222" t="s">
        <v>719</v>
      </c>
      <c r="E222" t="s">
        <v>746</v>
      </c>
      <c r="F222">
        <v>3.8993350879110702</v>
      </c>
      <c r="G222">
        <v>14.160125300058899</v>
      </c>
      <c r="H222">
        <v>27.314034477701501</v>
      </c>
      <c r="I222">
        <v>671.89581898020401</v>
      </c>
      <c r="J222">
        <v>1.5232201853282199E-2</v>
      </c>
      <c r="K222">
        <v>1.6224420787190299E-2</v>
      </c>
      <c r="L222">
        <v>8.70130183553358E-2</v>
      </c>
      <c r="M222">
        <v>9.4313035227958794E-2</v>
      </c>
      <c r="N222">
        <v>8.7285936189224006E-2</v>
      </c>
      <c r="O222">
        <v>9.5089540784272397E-2</v>
      </c>
      <c r="P222">
        <v>9.6699433287362496E-2</v>
      </c>
      <c r="Q222">
        <v>9.7955459734594894E-2</v>
      </c>
      <c r="R222">
        <v>9.9015759893145205E-2</v>
      </c>
      <c r="S222">
        <v>0.100222848695044</v>
      </c>
      <c r="T222">
        <v>0.10096103179676499</v>
      </c>
      <c r="U222">
        <v>0.101852640721474</v>
      </c>
      <c r="V222">
        <v>0.103049829879096</v>
      </c>
      <c r="W222">
        <v>0.10447016703447801</v>
      </c>
      <c r="X222">
        <v>0.106269612111105</v>
      </c>
      <c r="Y222">
        <v>0.108153451088789</v>
      </c>
      <c r="Z222">
        <v>0.110010973921484</v>
      </c>
      <c r="AA222">
        <v>0.111486523144601</v>
      </c>
      <c r="AB222">
        <v>0.113245961463956</v>
      </c>
      <c r="AC222">
        <v>0.115027350118971</v>
      </c>
      <c r="AD222">
        <v>0.117167997241483</v>
      </c>
      <c r="AE222">
        <v>0.119465751562099</v>
      </c>
      <c r="AF222">
        <v>0.121717679578199</v>
      </c>
      <c r="AG222">
        <v>0.124044072916659</v>
      </c>
      <c r="AH222">
        <v>0.12661919759100801</v>
      </c>
      <c r="AI222">
        <v>0.12927342892572499</v>
      </c>
      <c r="AJ222">
        <v>0.13167419211713399</v>
      </c>
      <c r="AK222">
        <v>0.13424469949196199</v>
      </c>
      <c r="AL222">
        <v>0.13686566335053699</v>
      </c>
      <c r="AM222">
        <v>0.13951159518179301</v>
      </c>
      <c r="AN222">
        <v>0.14219166342360601</v>
      </c>
      <c r="AO222">
        <v>0.14498479821607499</v>
      </c>
      <c r="AP222">
        <v>0.14785121759994199</v>
      </c>
      <c r="AQ222">
        <v>0.15040602773228101</v>
      </c>
      <c r="AR222">
        <v>0.15286867235801299</v>
      </c>
      <c r="AS222">
        <v>0.155435803520975</v>
      </c>
    </row>
    <row r="223" spans="1:45" x14ac:dyDescent="0.3">
      <c r="A223" t="s">
        <v>784</v>
      </c>
      <c r="B223" t="s">
        <v>686</v>
      </c>
      <c r="C223" t="s">
        <v>681</v>
      </c>
      <c r="D223" t="s">
        <v>719</v>
      </c>
      <c r="E223" t="s">
        <v>22</v>
      </c>
      <c r="F223">
        <v>999</v>
      </c>
      <c r="G223">
        <v>999</v>
      </c>
      <c r="H223">
        <v>999</v>
      </c>
      <c r="I223">
        <v>999</v>
      </c>
      <c r="J223">
        <v>8.1755339499999996E-2</v>
      </c>
      <c r="K223">
        <v>8.4071122799999995E-2</v>
      </c>
      <c r="L223">
        <v>8.5088139500000007E-2</v>
      </c>
      <c r="M223">
        <v>8.6336642500000005E-2</v>
      </c>
      <c r="N223">
        <v>8.7456534200000005E-2</v>
      </c>
      <c r="O223">
        <v>8.8342426099999996E-2</v>
      </c>
      <c r="P223">
        <v>8.8953977700000006E-2</v>
      </c>
      <c r="Q223">
        <v>8.9432380300000003E-2</v>
      </c>
      <c r="R223">
        <v>8.9738845600000006E-2</v>
      </c>
      <c r="S223">
        <v>8.9912776599999994E-2</v>
      </c>
      <c r="T223">
        <v>9.0131241900000006E-2</v>
      </c>
      <c r="U223">
        <v>9.0598574000000001E-2</v>
      </c>
      <c r="V223">
        <v>9.1301864100000005E-2</v>
      </c>
      <c r="W223">
        <v>9.2097228000000003E-2</v>
      </c>
      <c r="X223">
        <v>9.2921589200000002E-2</v>
      </c>
      <c r="Y223">
        <v>9.3782125999999993E-2</v>
      </c>
      <c r="Z223">
        <v>9.4715410099999994E-2</v>
      </c>
      <c r="AA223">
        <v>9.5574083399999996E-2</v>
      </c>
      <c r="AB223">
        <v>9.6380603999999995E-2</v>
      </c>
      <c r="AC223">
        <v>9.7207407300000007E-2</v>
      </c>
      <c r="AD223">
        <v>9.8053280000000007E-2</v>
      </c>
      <c r="AE223">
        <v>9.8876612500000002E-2</v>
      </c>
      <c r="AF223">
        <v>9.9684386900000005E-2</v>
      </c>
      <c r="AG223">
        <v>0.1005448406</v>
      </c>
      <c r="AH223">
        <v>0.1014310075</v>
      </c>
      <c r="AI223">
        <v>0.1023005698</v>
      </c>
      <c r="AJ223">
        <v>0.103193479</v>
      </c>
      <c r="AK223">
        <v>0.10407107779999999</v>
      </c>
      <c r="AL223">
        <v>0.10490496370000001</v>
      </c>
      <c r="AM223">
        <v>0.1057201131</v>
      </c>
      <c r="AN223">
        <v>0.1065230264</v>
      </c>
      <c r="AO223">
        <v>0.1073353289</v>
      </c>
      <c r="AP223">
        <v>0.1081527009</v>
      </c>
      <c r="AQ223">
        <v>0.108931631</v>
      </c>
      <c r="AR223">
        <v>0.1096463543</v>
      </c>
      <c r="AS223">
        <v>0.11037302340000001</v>
      </c>
    </row>
    <row r="224" spans="1:45" x14ac:dyDescent="0.3">
      <c r="A224" t="s">
        <v>784</v>
      </c>
      <c r="B224" t="s">
        <v>685</v>
      </c>
      <c r="C224" t="s">
        <v>681</v>
      </c>
      <c r="D224" t="s">
        <v>719</v>
      </c>
      <c r="E224" t="s">
        <v>22</v>
      </c>
      <c r="F224">
        <v>999</v>
      </c>
      <c r="G224">
        <v>999</v>
      </c>
      <c r="H224">
        <v>999</v>
      </c>
      <c r="I224">
        <v>999</v>
      </c>
      <c r="J224">
        <v>8.1755339499999996E-2</v>
      </c>
      <c r="K224">
        <v>0.10114128226944701</v>
      </c>
      <c r="L224">
        <v>0.117093708241713</v>
      </c>
      <c r="M224">
        <v>0.13288603893126399</v>
      </c>
      <c r="N224">
        <v>0.14805951877128701</v>
      </c>
      <c r="O224">
        <v>0.16180182680310001</v>
      </c>
      <c r="P224">
        <v>0.17361104329756299</v>
      </c>
      <c r="Q224">
        <v>0.18449225683021001</v>
      </c>
      <c r="R224">
        <v>0.194590557568209</v>
      </c>
      <c r="S224">
        <v>0.20462402544738301</v>
      </c>
      <c r="T224">
        <v>0.213674313135683</v>
      </c>
      <c r="U224">
        <v>0.21935121617428999</v>
      </c>
      <c r="V224">
        <v>0.220888533609573</v>
      </c>
      <c r="W224">
        <v>0.22281569063926501</v>
      </c>
      <c r="X224">
        <v>0.22539766500404501</v>
      </c>
      <c r="Y224">
        <v>0.22781824348132601</v>
      </c>
      <c r="Z224">
        <v>0.23016402137377201</v>
      </c>
      <c r="AA224">
        <v>0.23154072168896001</v>
      </c>
      <c r="AB224">
        <v>0.233535893609671</v>
      </c>
      <c r="AC224">
        <v>0.23532991660299099</v>
      </c>
      <c r="AD224">
        <v>0.237558006081759</v>
      </c>
      <c r="AE224">
        <v>0.239814093845027</v>
      </c>
      <c r="AF224">
        <v>0.241509281171426</v>
      </c>
      <c r="AG224">
        <v>0.243429014713271</v>
      </c>
      <c r="AH224">
        <v>0.24550885169004899</v>
      </c>
      <c r="AI224">
        <v>0.24744048403944099</v>
      </c>
      <c r="AJ224">
        <v>0.24931401209899801</v>
      </c>
      <c r="AK224">
        <v>0.25106849948753501</v>
      </c>
      <c r="AL224">
        <v>0.25275793692131499</v>
      </c>
      <c r="AM224">
        <v>0.25440754110618202</v>
      </c>
      <c r="AN224">
        <v>0.25601257279273898</v>
      </c>
      <c r="AO224">
        <v>0.25769083023610301</v>
      </c>
      <c r="AP224">
        <v>0.25957420789619001</v>
      </c>
      <c r="AQ224">
        <v>0.26121539122363602</v>
      </c>
      <c r="AR224">
        <v>0.26280287084999898</v>
      </c>
      <c r="AS224">
        <v>0.26427188407428898</v>
      </c>
    </row>
    <row r="225" spans="1:45" x14ac:dyDescent="0.3">
      <c r="A225" t="s">
        <v>784</v>
      </c>
      <c r="B225" t="s">
        <v>684</v>
      </c>
      <c r="C225" t="s">
        <v>681</v>
      </c>
      <c r="D225" t="s">
        <v>719</v>
      </c>
      <c r="E225" t="s">
        <v>22</v>
      </c>
      <c r="F225">
        <v>999</v>
      </c>
      <c r="G225">
        <v>999</v>
      </c>
      <c r="H225">
        <v>999</v>
      </c>
      <c r="I225">
        <v>999</v>
      </c>
      <c r="J225">
        <v>9.6877600000001507E-5</v>
      </c>
      <c r="K225">
        <v>-2.2992026060819601E-18</v>
      </c>
      <c r="L225">
        <v>5.5879354476928703E-18</v>
      </c>
      <c r="M225">
        <v>4.0745362639427198E-19</v>
      </c>
      <c r="N225">
        <v>-1.37370079755783E-17</v>
      </c>
      <c r="O225">
        <v>1.57160684466362E-18</v>
      </c>
      <c r="P225">
        <v>1.7171259969472899E-17</v>
      </c>
      <c r="Q225">
        <v>2.4621840566396699E-17</v>
      </c>
      <c r="R225">
        <v>-7.4505805969238301E-18</v>
      </c>
      <c r="S225">
        <v>2.4214386940002399E-17</v>
      </c>
      <c r="T225">
        <v>5.9371814131736802E-18</v>
      </c>
      <c r="U225">
        <v>-2.7939677238464402E-18</v>
      </c>
      <c r="V225">
        <v>1.37370079755783E-17</v>
      </c>
      <c r="W225">
        <v>1.03609636425972E-17</v>
      </c>
      <c r="X225">
        <v>-2.8172507882118197E-17</v>
      </c>
      <c r="Y225">
        <v>-1.32713466882706E-17</v>
      </c>
      <c r="Z225">
        <v>-2.4214386940002399E-17</v>
      </c>
      <c r="AA225">
        <v>-3.2596290111541801E-18</v>
      </c>
      <c r="AB225">
        <v>3.7252902984619097E-18</v>
      </c>
      <c r="AC225">
        <v>-4.9592927098274197E-17</v>
      </c>
      <c r="AD225">
        <v>-1.8393620848655699E-17</v>
      </c>
      <c r="AE225">
        <v>9.7788870334625303E-18</v>
      </c>
      <c r="AF225">
        <v>-2.8870999813079803E-17</v>
      </c>
      <c r="AG225">
        <v>-5.5879354476928703E-18</v>
      </c>
      <c r="AH225">
        <v>5.1222741603851299E-18</v>
      </c>
      <c r="AI225">
        <v>2.09547579288483E-17</v>
      </c>
      <c r="AJ225">
        <v>-1.02445483207703E-17</v>
      </c>
      <c r="AK225">
        <v>-1.0710209608078E-17</v>
      </c>
      <c r="AL225">
        <v>1.5832483768463101E-17</v>
      </c>
      <c r="AM225">
        <v>1.02445483207703E-17</v>
      </c>
      <c r="AN225">
        <v>7.4505805969238301E-18</v>
      </c>
      <c r="AO225">
        <v>-6.0535967350006099E-18</v>
      </c>
      <c r="AP225">
        <v>4.6566128730773904E-18</v>
      </c>
      <c r="AQ225">
        <v>2.4680048227310201E-17</v>
      </c>
      <c r="AR225">
        <v>1.6298145055770901E-18</v>
      </c>
      <c r="AS225">
        <v>-1.8626451492309602E-17</v>
      </c>
    </row>
    <row r="226" spans="1:45" x14ac:dyDescent="0.3">
      <c r="A226" t="s">
        <v>784</v>
      </c>
      <c r="B226" t="s">
        <v>682</v>
      </c>
      <c r="C226" t="s">
        <v>681</v>
      </c>
      <c r="D226" t="s">
        <v>719</v>
      </c>
      <c r="E226" t="s">
        <v>22</v>
      </c>
      <c r="F226">
        <v>999</v>
      </c>
      <c r="G226">
        <v>999</v>
      </c>
      <c r="H226">
        <v>999</v>
      </c>
      <c r="I226">
        <v>999</v>
      </c>
      <c r="J226">
        <v>9.6877600000001507E-5</v>
      </c>
      <c r="K226">
        <v>-3.5623088479042098E-17</v>
      </c>
      <c r="L226">
        <v>-1.02445483207703E-17</v>
      </c>
      <c r="M226">
        <v>1.1641532182693501E-18</v>
      </c>
      <c r="N226">
        <v>-2.21189111471176E-17</v>
      </c>
      <c r="O226">
        <v>-7.4855051934719101E-17</v>
      </c>
      <c r="P226">
        <v>-1.2805685400962799E-17</v>
      </c>
      <c r="Q226">
        <v>-4.7497451305389398E-17</v>
      </c>
      <c r="R226">
        <v>2.1886080503463701E-17</v>
      </c>
      <c r="S226">
        <v>3.7252902984619097E-18</v>
      </c>
      <c r="T226">
        <v>1.30385160446167E-17</v>
      </c>
      <c r="U226">
        <v>-3.3294782042503399E-17</v>
      </c>
      <c r="V226">
        <v>3.6088749766349798E-17</v>
      </c>
      <c r="W226">
        <v>-6.1700120568275502E-17</v>
      </c>
      <c r="X226">
        <v>-3.35276126861572E-17</v>
      </c>
      <c r="Y226">
        <v>4.6100467443466199E-17</v>
      </c>
      <c r="Z226">
        <v>-1.30385160446167E-17</v>
      </c>
      <c r="AA226">
        <v>2.0023435354232801E-17</v>
      </c>
      <c r="AB226">
        <v>1.10361725091934E-16</v>
      </c>
      <c r="AC226">
        <v>2.70083546638489E-17</v>
      </c>
      <c r="AD226">
        <v>1.49011611938477E-17</v>
      </c>
      <c r="AE226">
        <v>7.1246176958084097E-17</v>
      </c>
      <c r="AF226">
        <v>-3.2596290111541801E-18</v>
      </c>
      <c r="AG226">
        <v>-9.31322574615479E-18</v>
      </c>
      <c r="AH226">
        <v>-5.3551048040390001E-17</v>
      </c>
      <c r="AI226">
        <v>-2.3283064365387002E-18</v>
      </c>
      <c r="AJ226">
        <v>-2.9336661100387602E-17</v>
      </c>
      <c r="AK226">
        <v>2.5611370801925701E-17</v>
      </c>
      <c r="AL226">
        <v>5.6345015764236505E-17</v>
      </c>
      <c r="AM226">
        <v>-2.7939677238464402E-18</v>
      </c>
      <c r="AN226">
        <v>0</v>
      </c>
      <c r="AO226">
        <v>-6.2398612499237102E-17</v>
      </c>
      <c r="AP226">
        <v>5.3085386753082301E-17</v>
      </c>
      <c r="AQ226">
        <v>1.02445483207703E-17</v>
      </c>
      <c r="AR226">
        <v>-7.4505805969238301E-18</v>
      </c>
      <c r="AS226">
        <v>1.5832483768463101E-17</v>
      </c>
    </row>
    <row r="227" spans="1:45" x14ac:dyDescent="0.3">
      <c r="A227" t="s">
        <v>783</v>
      </c>
      <c r="B227" t="s">
        <v>686</v>
      </c>
      <c r="C227" t="s">
        <v>681</v>
      </c>
      <c r="D227" t="s">
        <v>719</v>
      </c>
      <c r="E227" t="s">
        <v>22</v>
      </c>
      <c r="F227">
        <v>-28.106321096222398</v>
      </c>
      <c r="G227">
        <v>0</v>
      </c>
      <c r="H227">
        <v>999</v>
      </c>
      <c r="I227">
        <v>999</v>
      </c>
      <c r="J227">
        <v>1.6997072700000001E-2</v>
      </c>
      <c r="K227">
        <v>1.6789534799999999E-2</v>
      </c>
      <c r="L227">
        <v>1.6415748160014201E-2</v>
      </c>
      <c r="M227">
        <v>1.6050723877983199E-2</v>
      </c>
      <c r="N227">
        <v>1.5634331772947999E-2</v>
      </c>
      <c r="O227">
        <v>1.5300191426475099E-2</v>
      </c>
      <c r="P227">
        <v>1.49143074938643E-2</v>
      </c>
      <c r="Q227">
        <v>1.4597436136620401E-2</v>
      </c>
      <c r="R227">
        <v>1.4323737594843599E-2</v>
      </c>
      <c r="S227">
        <v>1.40855282114922E-2</v>
      </c>
      <c r="T227">
        <v>1.3801246255147901E-2</v>
      </c>
      <c r="U227">
        <v>1.35421574085842E-2</v>
      </c>
      <c r="V227">
        <v>1.33261130960652E-2</v>
      </c>
      <c r="W227">
        <v>1.3138393757535199E-2</v>
      </c>
      <c r="X227">
        <v>1.3001617950020999E-2</v>
      </c>
      <c r="Y227">
        <v>1.2856922671901701E-2</v>
      </c>
      <c r="Z227">
        <v>1.26988252467835E-2</v>
      </c>
      <c r="AA227">
        <v>1.2499616636162499E-2</v>
      </c>
      <c r="AB227">
        <v>1.2344048338424601E-2</v>
      </c>
      <c r="AC227">
        <v>1.21802474839689E-2</v>
      </c>
      <c r="AD227">
        <v>1.2040225808490001E-2</v>
      </c>
      <c r="AE227">
        <v>1.1909890676133E-2</v>
      </c>
      <c r="AF227">
        <v>1.1758127164559999E-2</v>
      </c>
      <c r="AG227">
        <v>1.1622495586427599E-2</v>
      </c>
      <c r="AH227">
        <v>1.14971240960674E-2</v>
      </c>
      <c r="AI227">
        <v>1.13824876159342E-2</v>
      </c>
      <c r="AJ227">
        <v>1.12537249056208E-2</v>
      </c>
      <c r="AK227">
        <v>1.1132426140688E-2</v>
      </c>
      <c r="AL227">
        <v>1.1014817974925799E-2</v>
      </c>
      <c r="AM227">
        <v>1.09019191828316E-2</v>
      </c>
      <c r="AN227">
        <v>1.07889471269321E-2</v>
      </c>
      <c r="AO227">
        <v>1.0681308640024201E-2</v>
      </c>
      <c r="AP227">
        <v>1.0578809997944E-2</v>
      </c>
      <c r="AQ227">
        <v>1.0471071103501499E-2</v>
      </c>
      <c r="AR227">
        <v>1.0379238381050201E-2</v>
      </c>
      <c r="AS227">
        <v>1.0280477713879599E-2</v>
      </c>
    </row>
    <row r="228" spans="1:45" x14ac:dyDescent="0.3">
      <c r="A228" t="s">
        <v>783</v>
      </c>
      <c r="B228" t="s">
        <v>685</v>
      </c>
      <c r="C228" t="s">
        <v>681</v>
      </c>
      <c r="D228" t="s">
        <v>719</v>
      </c>
      <c r="E228" t="s">
        <v>22</v>
      </c>
      <c r="F228">
        <v>-28.106321096222398</v>
      </c>
      <c r="G228">
        <v>0</v>
      </c>
      <c r="H228">
        <v>999</v>
      </c>
      <c r="I228">
        <v>999</v>
      </c>
      <c r="J228">
        <v>1.6997072700000001E-2</v>
      </c>
      <c r="K228">
        <v>1.7163373749390001E-2</v>
      </c>
      <c r="L228">
        <v>1.7216208939309099E-2</v>
      </c>
      <c r="M228">
        <v>1.7339398762162499E-2</v>
      </c>
      <c r="N228">
        <v>1.7446108449685499E-2</v>
      </c>
      <c r="O228">
        <v>1.7643220289806898E-2</v>
      </c>
      <c r="P228">
        <v>1.77860407211681E-2</v>
      </c>
      <c r="Q228">
        <v>1.7950271764029298E-2</v>
      </c>
      <c r="R228">
        <v>1.81190881891788E-2</v>
      </c>
      <c r="S228">
        <v>1.8333742988075701E-2</v>
      </c>
      <c r="T228">
        <v>1.8467401474728001E-2</v>
      </c>
      <c r="U228">
        <v>1.8633928977849198E-2</v>
      </c>
      <c r="V228">
        <v>1.8815450338863698E-2</v>
      </c>
      <c r="W228">
        <v>1.9054903757373901E-2</v>
      </c>
      <c r="X228">
        <v>1.9337122352075398E-2</v>
      </c>
      <c r="Y228">
        <v>1.9537883721202999E-2</v>
      </c>
      <c r="Z228">
        <v>1.9698249955978499E-2</v>
      </c>
      <c r="AA228">
        <v>1.97649183869146E-2</v>
      </c>
      <c r="AB228">
        <v>1.9827320114277701E-2</v>
      </c>
      <c r="AC228">
        <v>1.9719997577832601E-2</v>
      </c>
      <c r="AD228">
        <v>1.96627357374374E-2</v>
      </c>
      <c r="AE228">
        <v>1.9634667485330701E-2</v>
      </c>
      <c r="AF228">
        <v>1.9564184854669701E-2</v>
      </c>
      <c r="AG228">
        <v>1.95010048055177E-2</v>
      </c>
      <c r="AH228">
        <v>1.9466752486138099E-2</v>
      </c>
      <c r="AI228">
        <v>1.9430597553845401E-2</v>
      </c>
      <c r="AJ228">
        <v>1.9371693464539999E-2</v>
      </c>
      <c r="AK228">
        <v>1.9295653533724599E-2</v>
      </c>
      <c r="AL228">
        <v>1.9234713297942699E-2</v>
      </c>
      <c r="AM228">
        <v>1.9177320121712301E-2</v>
      </c>
      <c r="AN228">
        <v>1.9111369866277799E-2</v>
      </c>
      <c r="AO228">
        <v>1.9044717079565801E-2</v>
      </c>
      <c r="AP228">
        <v>1.8981640751863298E-2</v>
      </c>
      <c r="AQ228">
        <v>1.8903925945423401E-2</v>
      </c>
      <c r="AR228">
        <v>1.8854454776695801E-2</v>
      </c>
      <c r="AS228">
        <v>1.8789420224213399E-2</v>
      </c>
    </row>
    <row r="229" spans="1:45" x14ac:dyDescent="0.3">
      <c r="A229" t="s">
        <v>783</v>
      </c>
      <c r="B229" t="s">
        <v>684</v>
      </c>
      <c r="C229" t="s">
        <v>681</v>
      </c>
      <c r="D229" t="s">
        <v>719</v>
      </c>
      <c r="E229" t="s">
        <v>22</v>
      </c>
      <c r="F229">
        <v>-28.106321096222398</v>
      </c>
      <c r="G229">
        <v>0</v>
      </c>
      <c r="H229">
        <v>999</v>
      </c>
      <c r="I229">
        <v>999</v>
      </c>
      <c r="J229">
        <v>2.83284545E-3</v>
      </c>
      <c r="K229">
        <v>1.6789534799999999E-2</v>
      </c>
      <c r="L229">
        <v>1.6415748160014201E-2</v>
      </c>
      <c r="M229">
        <v>1.6050723877983199E-2</v>
      </c>
      <c r="N229">
        <v>1.5634331772947999E-2</v>
      </c>
      <c r="O229">
        <v>1.37882180434559E-2</v>
      </c>
      <c r="P229">
        <v>1.21491650431823E-2</v>
      </c>
      <c r="Q229">
        <v>1.07781389520259E-2</v>
      </c>
      <c r="R229">
        <v>9.6092997265283895E-3</v>
      </c>
      <c r="S229">
        <v>8.6088456873353592E-3</v>
      </c>
      <c r="T229">
        <v>7.7007814712277498E-3</v>
      </c>
      <c r="U229">
        <v>6.91125350825747E-3</v>
      </c>
      <c r="V229">
        <v>6.3080528598927297E-3</v>
      </c>
      <c r="W229">
        <v>5.4348647040747796E-3</v>
      </c>
      <c r="X229">
        <v>4.6899821399875698E-3</v>
      </c>
      <c r="Y229">
        <v>4.04497468686635E-3</v>
      </c>
      <c r="Z229">
        <v>3.4790294071920399E-3</v>
      </c>
      <c r="AA229">
        <v>2.9777891890390498E-3</v>
      </c>
      <c r="AB229">
        <v>2.5668821371716698E-3</v>
      </c>
      <c r="AC229">
        <v>2.2307792714063202E-3</v>
      </c>
      <c r="AD229">
        <v>1.9417317651539501E-3</v>
      </c>
      <c r="AE229">
        <v>1.69110083513784E-3</v>
      </c>
      <c r="AF229">
        <v>1.4698174197156301E-3</v>
      </c>
      <c r="AG229">
        <v>1.2786607399190399E-3</v>
      </c>
      <c r="AH229">
        <v>1.11279760682577E-3</v>
      </c>
      <c r="AI229">
        <v>9.6939187633402998E-4</v>
      </c>
      <c r="AJ229">
        <v>8.4295841287789896E-4</v>
      </c>
      <c r="AK229">
        <v>7.3306872802356897E-4</v>
      </c>
      <c r="AL229">
        <v>6.3735543020300304E-4</v>
      </c>
      <c r="AM229">
        <v>5.5403961681418001E-4</v>
      </c>
      <c r="AN229">
        <v>4.8126849576257002E-4</v>
      </c>
      <c r="AO229">
        <v>4.1795896980794501E-4</v>
      </c>
      <c r="AP229">
        <v>3.6288479321429801E-4</v>
      </c>
      <c r="AQ229">
        <v>3.1466704531153098E-4</v>
      </c>
      <c r="AR229">
        <v>2.7307101949878399E-4</v>
      </c>
      <c r="AS229">
        <v>2.3662867942643499E-4</v>
      </c>
    </row>
    <row r="230" spans="1:45" x14ac:dyDescent="0.3">
      <c r="A230" t="s">
        <v>783</v>
      </c>
      <c r="B230" t="s">
        <v>682</v>
      </c>
      <c r="C230" t="s">
        <v>681</v>
      </c>
      <c r="D230" t="s">
        <v>719</v>
      </c>
      <c r="E230" t="s">
        <v>22</v>
      </c>
      <c r="F230">
        <v>-28.106321096222398</v>
      </c>
      <c r="G230">
        <v>0</v>
      </c>
      <c r="H230">
        <v>999</v>
      </c>
      <c r="I230">
        <v>999</v>
      </c>
      <c r="J230">
        <v>2.83284545E-3</v>
      </c>
      <c r="K230">
        <v>1.7163373749390001E-2</v>
      </c>
      <c r="L230">
        <v>1.7216208939309099E-2</v>
      </c>
      <c r="M230">
        <v>1.7339398762162499E-2</v>
      </c>
      <c r="N230">
        <v>1.7446108449685499E-2</v>
      </c>
      <c r="O230">
        <v>1.5898224728022201E-2</v>
      </c>
      <c r="P230">
        <v>1.4505463171388001E-2</v>
      </c>
      <c r="Q230">
        <v>1.3304854337715E-2</v>
      </c>
      <c r="R230">
        <v>1.22506922462961E-2</v>
      </c>
      <c r="S230">
        <v>1.13498639005448E-2</v>
      </c>
      <c r="T230">
        <v>1.04986507190844E-2</v>
      </c>
      <c r="U230">
        <v>9.7518205898384901E-3</v>
      </c>
      <c r="V230">
        <v>9.1598764689019806E-3</v>
      </c>
      <c r="W230">
        <v>8.0747569401069304E-3</v>
      </c>
      <c r="X230">
        <v>7.1093463168380097E-3</v>
      </c>
      <c r="Y230">
        <v>6.24454308506043E-3</v>
      </c>
      <c r="Z230">
        <v>5.4596889813459497E-3</v>
      </c>
      <c r="AA230">
        <v>4.7390140462598603E-3</v>
      </c>
      <c r="AB230">
        <v>4.1337950271251598E-3</v>
      </c>
      <c r="AC230">
        <v>3.6222637164477702E-3</v>
      </c>
      <c r="AD230">
        <v>3.1805730977176598E-3</v>
      </c>
      <c r="AE230">
        <v>2.79587500745102E-3</v>
      </c>
      <c r="AF230">
        <v>2.45206736688991E-3</v>
      </c>
      <c r="AG230">
        <v>2.1505554988467701E-3</v>
      </c>
      <c r="AH230">
        <v>1.8881610033852001E-3</v>
      </c>
      <c r="AI230">
        <v>1.6573348752332E-3</v>
      </c>
      <c r="AJ230">
        <v>1.4523208266063201E-3</v>
      </c>
      <c r="AK230">
        <v>1.2709302612991301E-3</v>
      </c>
      <c r="AL230">
        <v>1.1125003291799899E-3</v>
      </c>
      <c r="AM230">
        <v>9.7353159514772095E-4</v>
      </c>
      <c r="AN230">
        <v>8.5102572567475698E-4</v>
      </c>
      <c r="AO230">
        <v>7.4346788908577098E-4</v>
      </c>
      <c r="AP230">
        <v>6.4920939898061502E-4</v>
      </c>
      <c r="AQ230">
        <v>5.6606665269567404E-4</v>
      </c>
      <c r="AR230">
        <v>4.93972283007343E-4</v>
      </c>
      <c r="AS230">
        <v>4.3039184465459097E-4</v>
      </c>
    </row>
    <row r="231" spans="1:45" x14ac:dyDescent="0.3">
      <c r="A231" t="s">
        <v>782</v>
      </c>
      <c r="B231" t="s">
        <v>686</v>
      </c>
      <c r="C231" t="s">
        <v>681</v>
      </c>
      <c r="D231" t="s">
        <v>719</v>
      </c>
      <c r="E231" t="s">
        <v>679</v>
      </c>
      <c r="F231">
        <v>999</v>
      </c>
      <c r="G231">
        <v>0</v>
      </c>
      <c r="H231">
        <v>0</v>
      </c>
      <c r="I231">
        <v>0</v>
      </c>
      <c r="J231">
        <v>0.17879536959494999</v>
      </c>
      <c r="K231">
        <v>0.18131853124531</v>
      </c>
      <c r="L231">
        <v>0.16757160330175599</v>
      </c>
      <c r="M231">
        <v>0.18181003617139099</v>
      </c>
      <c r="N231">
        <v>0.16612259691658801</v>
      </c>
      <c r="O231">
        <v>0.173122713116312</v>
      </c>
      <c r="P231">
        <v>0.17235543382712901</v>
      </c>
      <c r="Q231">
        <v>0.17120757345944401</v>
      </c>
      <c r="R231">
        <v>0.16979913072611999</v>
      </c>
      <c r="S231">
        <v>0.16857380324193799</v>
      </c>
      <c r="T231">
        <v>0.16685540048723199</v>
      </c>
      <c r="U231">
        <v>0.165470524291988</v>
      </c>
      <c r="V231">
        <v>0.16460864541735501</v>
      </c>
      <c r="W231">
        <v>0.164078089844655</v>
      </c>
      <c r="X231">
        <v>0.16405743704006601</v>
      </c>
      <c r="Y231">
        <v>0.16391640114868899</v>
      </c>
      <c r="Z231">
        <v>0.163743022828021</v>
      </c>
      <c r="AA231">
        <v>0.163115173190614</v>
      </c>
      <c r="AB231">
        <v>0.162906304461058</v>
      </c>
      <c r="AC231">
        <v>0.16272073505488899</v>
      </c>
      <c r="AD231">
        <v>0.16278166906187999</v>
      </c>
      <c r="AE231">
        <v>0.16290580951452799</v>
      </c>
      <c r="AF231">
        <v>0.16293084418249501</v>
      </c>
      <c r="AG231">
        <v>0.16306555552345101</v>
      </c>
      <c r="AH231">
        <v>0.163358162149112</v>
      </c>
      <c r="AI231">
        <v>0.16373591457269701</v>
      </c>
      <c r="AJ231">
        <v>0.16402273504819201</v>
      </c>
      <c r="AK231">
        <v>0.16444695389045899</v>
      </c>
      <c r="AL231">
        <v>0.164921934167125</v>
      </c>
      <c r="AM231">
        <v>0.16542259864529499</v>
      </c>
      <c r="AN231">
        <v>0.16593883629853701</v>
      </c>
      <c r="AO231">
        <v>0.16657882206341301</v>
      </c>
      <c r="AP231">
        <v>0.167286235826792</v>
      </c>
      <c r="AQ231">
        <v>0.16791485530193101</v>
      </c>
      <c r="AR231">
        <v>0.16870878786594801</v>
      </c>
      <c r="AS231">
        <v>0.16962233137125801</v>
      </c>
    </row>
    <row r="232" spans="1:45" x14ac:dyDescent="0.3">
      <c r="A232" t="s">
        <v>782</v>
      </c>
      <c r="B232" t="s">
        <v>685</v>
      </c>
      <c r="C232" t="s">
        <v>681</v>
      </c>
      <c r="D232" t="s">
        <v>719</v>
      </c>
      <c r="E232" t="s">
        <v>679</v>
      </c>
      <c r="F232">
        <v>999</v>
      </c>
      <c r="G232">
        <v>0</v>
      </c>
      <c r="H232">
        <v>0</v>
      </c>
      <c r="I232">
        <v>0</v>
      </c>
      <c r="J232">
        <v>0.17879536959494999</v>
      </c>
      <c r="K232">
        <v>0.18131853124531</v>
      </c>
      <c r="L232">
        <v>0.16757160330175599</v>
      </c>
      <c r="M232">
        <v>0.17647856586505001</v>
      </c>
      <c r="N232">
        <v>0.15584131172580401</v>
      </c>
      <c r="O232">
        <v>0.15956110187056699</v>
      </c>
      <c r="P232">
        <v>0.15522795743780099</v>
      </c>
      <c r="Q232">
        <v>0.151044754072274</v>
      </c>
      <c r="R232">
        <v>0.14708620103674699</v>
      </c>
      <c r="S232">
        <v>0.143827084343434</v>
      </c>
      <c r="T232">
        <v>0.14047831148798801</v>
      </c>
      <c r="U232">
        <v>0.13780563005002</v>
      </c>
      <c r="V232">
        <v>0.135965446920748</v>
      </c>
      <c r="W232">
        <v>0.13479002352519801</v>
      </c>
      <c r="X232">
        <v>0.13448168951942399</v>
      </c>
      <c r="Y232">
        <v>0.134385084479098</v>
      </c>
      <c r="Z232">
        <v>0.13454945655308501</v>
      </c>
      <c r="AA232">
        <v>0.13455022561891</v>
      </c>
      <c r="AB232">
        <v>0.13533656788520501</v>
      </c>
      <c r="AC232">
        <v>0.13637063600011701</v>
      </c>
      <c r="AD232">
        <v>0.13793302744804301</v>
      </c>
      <c r="AE232">
        <v>0.13980762345991901</v>
      </c>
      <c r="AF232">
        <v>0.14178603497777201</v>
      </c>
      <c r="AG232">
        <v>0.14406279930882099</v>
      </c>
      <c r="AH232">
        <v>0.14708658290007101</v>
      </c>
      <c r="AI232">
        <v>0.15021863583949399</v>
      </c>
      <c r="AJ232">
        <v>0.153268994120486</v>
      </c>
      <c r="AK232">
        <v>0.15651662725384399</v>
      </c>
      <c r="AL232">
        <v>0.15982440393712399</v>
      </c>
      <c r="AM232">
        <v>0.163208206742222</v>
      </c>
      <c r="AN232">
        <v>0.16662828675061001</v>
      </c>
      <c r="AO232">
        <v>0.170197940917585</v>
      </c>
      <c r="AP232">
        <v>0.17385724087373799</v>
      </c>
      <c r="AQ232">
        <v>0.17746549037048601</v>
      </c>
      <c r="AR232">
        <v>0.18129839717555499</v>
      </c>
      <c r="AS232">
        <v>0.185296746147496</v>
      </c>
    </row>
    <row r="233" spans="1:45" x14ac:dyDescent="0.3">
      <c r="A233" t="s">
        <v>782</v>
      </c>
      <c r="B233" t="s">
        <v>684</v>
      </c>
      <c r="C233" t="s">
        <v>681</v>
      </c>
      <c r="D233" t="s">
        <v>719</v>
      </c>
      <c r="E233" t="s">
        <v>679</v>
      </c>
      <c r="F233">
        <v>999</v>
      </c>
      <c r="G233">
        <v>0</v>
      </c>
      <c r="H233">
        <v>0</v>
      </c>
      <c r="I233">
        <v>0</v>
      </c>
      <c r="J233">
        <v>2.46072886511683E-17</v>
      </c>
      <c r="K233">
        <v>-6.7375367507338501E-18</v>
      </c>
      <c r="L233">
        <v>-5.4889824241399803E-17</v>
      </c>
      <c r="M233">
        <v>1.37952156364918E-17</v>
      </c>
      <c r="N233">
        <v>6.9616362452506998E-17</v>
      </c>
      <c r="O233">
        <v>-8.4284693002700802E-17</v>
      </c>
      <c r="P233">
        <v>-1.2130476534366599E-16</v>
      </c>
      <c r="Q233">
        <v>-9.5460563898086601E-18</v>
      </c>
      <c r="R233">
        <v>-1.1012889444828E-16</v>
      </c>
      <c r="S233">
        <v>8.3538354419204399E-3</v>
      </c>
      <c r="T233">
        <v>1.5830046249649898E-2</v>
      </c>
      <c r="U233">
        <v>2.2591567915830502E-2</v>
      </c>
      <c r="V233">
        <v>2.8787686321362901E-2</v>
      </c>
      <c r="W233">
        <v>3.4497222554458799E-2</v>
      </c>
      <c r="X233">
        <v>3.9843900961273701E-2</v>
      </c>
      <c r="Y233">
        <v>4.4299663703665497E-2</v>
      </c>
      <c r="Z233">
        <v>4.8266150139238101E-2</v>
      </c>
      <c r="AA233">
        <v>5.1599142692380001E-2</v>
      </c>
      <c r="AB233">
        <v>5.4770876199403101E-2</v>
      </c>
      <c r="AC233">
        <v>5.7614344138281197E-2</v>
      </c>
      <c r="AD233">
        <v>6.0104942318012798E-2</v>
      </c>
      <c r="AE233">
        <v>6.0417414684938699E-2</v>
      </c>
      <c r="AF233">
        <v>6.04085436412908E-2</v>
      </c>
      <c r="AG233">
        <v>6.0395417531900801E-2</v>
      </c>
      <c r="AH233">
        <v>6.2170280787471E-2</v>
      </c>
      <c r="AI233">
        <v>6.4162289341598899E-2</v>
      </c>
      <c r="AJ233">
        <v>6.6010036014034698E-2</v>
      </c>
      <c r="AK233">
        <v>6.7243835132862501E-2</v>
      </c>
      <c r="AL233">
        <v>6.8829662704722405E-2</v>
      </c>
      <c r="AM233">
        <v>6.9727111639401901E-2</v>
      </c>
      <c r="AN233">
        <v>7.0589124778888304E-2</v>
      </c>
      <c r="AO233">
        <v>7.1048975245484799E-2</v>
      </c>
      <c r="AP233">
        <v>7.1543044137173398E-2</v>
      </c>
      <c r="AQ233">
        <v>7.2557183222541594E-2</v>
      </c>
      <c r="AR233">
        <v>7.4089020100232897E-2</v>
      </c>
      <c r="AS233">
        <v>7.9030433503705005E-2</v>
      </c>
    </row>
    <row r="234" spans="1:45" x14ac:dyDescent="0.3">
      <c r="A234" t="s">
        <v>782</v>
      </c>
      <c r="B234" t="s">
        <v>682</v>
      </c>
      <c r="C234" t="s">
        <v>681</v>
      </c>
      <c r="D234" t="s">
        <v>719</v>
      </c>
      <c r="E234" t="s">
        <v>679</v>
      </c>
      <c r="F234">
        <v>999</v>
      </c>
      <c r="G234">
        <v>0</v>
      </c>
      <c r="H234">
        <v>0</v>
      </c>
      <c r="I234">
        <v>0</v>
      </c>
      <c r="J234">
        <v>2.46072886511683E-17</v>
      </c>
      <c r="K234">
        <v>-6.7375367507338501E-18</v>
      </c>
      <c r="L234">
        <v>-5.4889824241399803E-17</v>
      </c>
      <c r="M234">
        <v>-2.4389009922742799E-17</v>
      </c>
      <c r="N234">
        <v>4.8719812184572201E-17</v>
      </c>
      <c r="O234">
        <v>5.9488229453563697E-17</v>
      </c>
      <c r="P234">
        <v>2.6193447411060301E-17</v>
      </c>
      <c r="Q234">
        <v>-3.4051481634378403E-17</v>
      </c>
      <c r="R234">
        <v>-2.3748725652694699E-17</v>
      </c>
      <c r="S234">
        <v>6.7083949326130496E-3</v>
      </c>
      <c r="T234">
        <v>1.25869607348449E-2</v>
      </c>
      <c r="U234">
        <v>1.78306544921755E-2</v>
      </c>
      <c r="V234">
        <v>2.2614706272273698E-2</v>
      </c>
      <c r="W234">
        <v>2.7047490526203598E-2</v>
      </c>
      <c r="X234">
        <v>3.1274904874075297E-2</v>
      </c>
      <c r="Y234">
        <v>3.4755752120540197E-2</v>
      </c>
      <c r="Z234">
        <v>3.7903632955074297E-2</v>
      </c>
      <c r="AA234">
        <v>4.0603509411185797E-2</v>
      </c>
      <c r="AB234">
        <v>4.3327198558756802E-2</v>
      </c>
      <c r="AC234">
        <v>4.5913288620550601E-2</v>
      </c>
      <c r="AD234">
        <v>4.8299433618133603E-2</v>
      </c>
      <c r="AE234">
        <v>4.8926770890476798E-2</v>
      </c>
      <c r="AF234">
        <v>4.9407197816234101E-2</v>
      </c>
      <c r="AG234">
        <v>5.0055651814491599E-2</v>
      </c>
      <c r="AH234">
        <v>5.2663403723154201E-2</v>
      </c>
      <c r="AI234">
        <v>5.5250170784224298E-2</v>
      </c>
      <c r="AJ234">
        <v>5.7954382028937698E-2</v>
      </c>
      <c r="AK234">
        <v>6.04547731025235E-2</v>
      </c>
      <c r="AL234">
        <v>6.2683837974745693E-2</v>
      </c>
      <c r="AM234">
        <v>6.3667010348193595E-2</v>
      </c>
      <c r="AN234">
        <v>6.4563233604310794E-2</v>
      </c>
      <c r="AO234">
        <v>6.5349541381394399E-2</v>
      </c>
      <c r="AP234">
        <v>6.6299918747259601E-2</v>
      </c>
      <c r="AQ234">
        <v>6.7993496305967002E-2</v>
      </c>
      <c r="AR234">
        <v>7.0239293128395205E-2</v>
      </c>
      <c r="AS234">
        <v>7.6262252222846799E-2</v>
      </c>
    </row>
    <row r="235" spans="1:45" x14ac:dyDescent="0.3">
      <c r="A235" t="s">
        <v>781</v>
      </c>
      <c r="B235" t="s">
        <v>686</v>
      </c>
      <c r="C235" t="s">
        <v>681</v>
      </c>
      <c r="D235" t="s">
        <v>719</v>
      </c>
      <c r="E235" t="s">
        <v>679</v>
      </c>
      <c r="F235">
        <v>999</v>
      </c>
      <c r="G235">
        <v>0</v>
      </c>
      <c r="H235">
        <v>999</v>
      </c>
      <c r="I235">
        <v>999</v>
      </c>
      <c r="J235">
        <v>3.8617343053600102E-3</v>
      </c>
      <c r="K235">
        <v>-9.9897052121999995E-4</v>
      </c>
      <c r="L235">
        <v>-1.24662361440657E-3</v>
      </c>
      <c r="M235">
        <v>7.3127196942963301E-3</v>
      </c>
      <c r="N235">
        <v>1.0116724001820799E-2</v>
      </c>
      <c r="O235">
        <v>5.90383897710039E-3</v>
      </c>
      <c r="P235">
        <v>5.8677723838080004E-3</v>
      </c>
      <c r="Q235">
        <v>5.88436714376656E-3</v>
      </c>
      <c r="R235">
        <v>5.9478704990435097E-3</v>
      </c>
      <c r="S235">
        <v>5.8980962529127396E-3</v>
      </c>
      <c r="T235">
        <v>5.96929078858543E-3</v>
      </c>
      <c r="U235">
        <v>6.0369807943211999E-3</v>
      </c>
      <c r="V235">
        <v>6.1038232198325501E-3</v>
      </c>
      <c r="W235">
        <v>6.1186058668820202E-3</v>
      </c>
      <c r="X235">
        <v>6.0517899419824496E-3</v>
      </c>
      <c r="Y235">
        <v>6.0026836139184204E-3</v>
      </c>
      <c r="Z235">
        <v>5.9781330250093098E-3</v>
      </c>
      <c r="AA235">
        <v>6.0355378501073496E-3</v>
      </c>
      <c r="AB235">
        <v>5.9662484253406103E-3</v>
      </c>
      <c r="AC235">
        <v>5.9149084097953903E-3</v>
      </c>
      <c r="AD235">
        <v>5.8268419088913599E-3</v>
      </c>
      <c r="AE235">
        <v>5.7181349650709101E-3</v>
      </c>
      <c r="AF235">
        <v>5.6436754889333304E-3</v>
      </c>
      <c r="AG235">
        <v>5.57328245020063E-3</v>
      </c>
      <c r="AH235">
        <v>5.48351570773839E-3</v>
      </c>
      <c r="AI235">
        <v>5.3590255593716704E-3</v>
      </c>
      <c r="AJ235">
        <v>5.25914909269601E-3</v>
      </c>
      <c r="AK235">
        <v>5.1423376809179499E-3</v>
      </c>
      <c r="AL235">
        <v>5.0065103598945096E-3</v>
      </c>
      <c r="AM235">
        <v>4.8693691878660796E-3</v>
      </c>
      <c r="AN235">
        <v>4.7281661575800599E-3</v>
      </c>
      <c r="AO235">
        <v>4.5644618311271703E-3</v>
      </c>
      <c r="AP235">
        <v>4.3820382484475199E-3</v>
      </c>
      <c r="AQ235">
        <v>4.2258942570083903E-3</v>
      </c>
      <c r="AR235">
        <v>4.0170144845872698E-3</v>
      </c>
      <c r="AS235">
        <v>3.79524761900838E-3</v>
      </c>
    </row>
    <row r="236" spans="1:45" x14ac:dyDescent="0.3">
      <c r="A236" t="s">
        <v>781</v>
      </c>
      <c r="B236" t="s">
        <v>685</v>
      </c>
      <c r="C236" t="s">
        <v>681</v>
      </c>
      <c r="D236" t="s">
        <v>719</v>
      </c>
      <c r="E236" t="s">
        <v>679</v>
      </c>
      <c r="F236">
        <v>999</v>
      </c>
      <c r="G236">
        <v>0</v>
      </c>
      <c r="H236">
        <v>999</v>
      </c>
      <c r="I236">
        <v>999</v>
      </c>
      <c r="J236">
        <v>3.8617343053600102E-3</v>
      </c>
      <c r="K236">
        <v>-9.9897052121999995E-4</v>
      </c>
      <c r="L236">
        <v>-1.24662361440657E-3</v>
      </c>
      <c r="M236">
        <v>7.3127196942963301E-3</v>
      </c>
      <c r="N236">
        <v>1.0116724001820799E-2</v>
      </c>
      <c r="O236">
        <v>5.90383897710039E-3</v>
      </c>
      <c r="P236">
        <v>5.8677723838080004E-3</v>
      </c>
      <c r="Q236">
        <v>5.88436714376656E-3</v>
      </c>
      <c r="R236">
        <v>5.9478704990435201E-3</v>
      </c>
      <c r="S236">
        <v>5.8980962529127396E-3</v>
      </c>
      <c r="T236">
        <v>5.96929078858543E-3</v>
      </c>
      <c r="U236">
        <v>6.0369807943211999E-3</v>
      </c>
      <c r="V236">
        <v>6.1038232198325501E-3</v>
      </c>
      <c r="W236">
        <v>6.1186058668820202E-3</v>
      </c>
      <c r="X236">
        <v>6.0517899419824496E-3</v>
      </c>
      <c r="Y236">
        <v>6.0026836139184204E-3</v>
      </c>
      <c r="Z236">
        <v>5.9781330250093002E-3</v>
      </c>
      <c r="AA236">
        <v>6.03553785010736E-3</v>
      </c>
      <c r="AB236">
        <v>5.9662484253406103E-3</v>
      </c>
      <c r="AC236">
        <v>5.9149084097953903E-3</v>
      </c>
      <c r="AD236">
        <v>5.8268419088913599E-3</v>
      </c>
      <c r="AE236">
        <v>5.7181349650709101E-3</v>
      </c>
      <c r="AF236">
        <v>5.6436754889333304E-3</v>
      </c>
      <c r="AG236">
        <v>5.57328245020063E-3</v>
      </c>
      <c r="AH236">
        <v>5.48351570773839E-3</v>
      </c>
      <c r="AI236">
        <v>5.3590255593716704E-3</v>
      </c>
      <c r="AJ236">
        <v>5.25914909269601E-3</v>
      </c>
      <c r="AK236">
        <v>5.1423376809179404E-3</v>
      </c>
      <c r="AL236">
        <v>5.0065103598945096E-3</v>
      </c>
      <c r="AM236">
        <v>4.86936918786609E-3</v>
      </c>
      <c r="AN236">
        <v>4.7281661575800599E-3</v>
      </c>
      <c r="AO236">
        <v>4.5644618311271703E-3</v>
      </c>
      <c r="AP236">
        <v>4.3820382484475199E-3</v>
      </c>
      <c r="AQ236">
        <v>4.2258942570083903E-3</v>
      </c>
      <c r="AR236">
        <v>4.0170144845872698E-3</v>
      </c>
      <c r="AS236">
        <v>3.79524761900838E-3</v>
      </c>
    </row>
    <row r="237" spans="1:45" x14ac:dyDescent="0.3">
      <c r="A237" t="s">
        <v>781</v>
      </c>
      <c r="B237" t="s">
        <v>684</v>
      </c>
      <c r="C237" t="s">
        <v>681</v>
      </c>
      <c r="D237" t="s">
        <v>719</v>
      </c>
      <c r="E237" t="s">
        <v>679</v>
      </c>
      <c r="F237">
        <v>999</v>
      </c>
      <c r="G237">
        <v>0</v>
      </c>
      <c r="H237">
        <v>999</v>
      </c>
      <c r="I237">
        <v>0</v>
      </c>
      <c r="J237">
        <v>3.7834979593753799E-18</v>
      </c>
      <c r="K237">
        <v>-1.7462298274040201E-18</v>
      </c>
      <c r="L237">
        <v>-9.3132257461547896E-19</v>
      </c>
      <c r="M237">
        <v>2.24518839828379E-5</v>
      </c>
      <c r="N237">
        <v>3.1665887589879597E-4</v>
      </c>
      <c r="O237">
        <v>1.43614982310478E-5</v>
      </c>
      <c r="P237">
        <v>2.1575345983710099E-5</v>
      </c>
      <c r="Q237">
        <v>2.2167728004526901E-5</v>
      </c>
      <c r="R237">
        <v>2.7449400755252799E-5</v>
      </c>
      <c r="S237">
        <v>8.6319935268344208E-6</v>
      </c>
      <c r="T237">
        <v>1.11653893748913E-5</v>
      </c>
      <c r="U237">
        <v>1.0522017647926E-5</v>
      </c>
      <c r="V237">
        <v>-2.9557993905168602E-6</v>
      </c>
      <c r="W237">
        <v>-4.4848076534129601E-5</v>
      </c>
      <c r="X237">
        <v>-1.28761380706262E-4</v>
      </c>
      <c r="Y237">
        <v>-4.5604385607569498E-4</v>
      </c>
      <c r="Z237">
        <v>-7.6730785038876099E-4</v>
      </c>
      <c r="AA237">
        <v>-1.0614128278097501E-3</v>
      </c>
      <c r="AB237">
        <v>-1.45323100093441E-3</v>
      </c>
      <c r="AC237">
        <v>-1.79513219667932E-3</v>
      </c>
      <c r="AD237">
        <v>-2.14602093209942E-3</v>
      </c>
      <c r="AE237">
        <v>-2.4874967721334202E-3</v>
      </c>
      <c r="AF237">
        <v>-2.9215668878400198E-3</v>
      </c>
      <c r="AG237">
        <v>-3.49631941286977E-3</v>
      </c>
      <c r="AH237">
        <v>-4.2070384344566397E-3</v>
      </c>
      <c r="AI237">
        <v>-5.1257631143072999E-3</v>
      </c>
      <c r="AJ237">
        <v>-6.3162304801162401E-3</v>
      </c>
      <c r="AK237">
        <v>-7.9772582546042501E-3</v>
      </c>
      <c r="AL237">
        <v>-1.01979601113428E-2</v>
      </c>
      <c r="AM237">
        <v>-1.0973028530824E-2</v>
      </c>
      <c r="AN237">
        <v>-1.1588483478265899E-2</v>
      </c>
      <c r="AO237">
        <v>-1.0881761418132E-2</v>
      </c>
      <c r="AP237">
        <v>-9.1261541250248594E-3</v>
      </c>
      <c r="AQ237">
        <v>-7.7878144052873502E-3</v>
      </c>
      <c r="AR237">
        <v>-6.8711492204310502E-3</v>
      </c>
      <c r="AS237">
        <v>-6.1175984125021298E-3</v>
      </c>
    </row>
    <row r="238" spans="1:45" x14ac:dyDescent="0.3">
      <c r="A238" t="s">
        <v>781</v>
      </c>
      <c r="B238" t="s">
        <v>682</v>
      </c>
      <c r="C238" t="s">
        <v>681</v>
      </c>
      <c r="D238" t="s">
        <v>719</v>
      </c>
      <c r="E238" t="s">
        <v>679</v>
      </c>
      <c r="F238">
        <v>999</v>
      </c>
      <c r="G238">
        <v>0</v>
      </c>
      <c r="H238">
        <v>999</v>
      </c>
      <c r="I238">
        <v>0</v>
      </c>
      <c r="J238">
        <v>3.7834979593753799E-18</v>
      </c>
      <c r="K238">
        <v>-1.7462298274040201E-18</v>
      </c>
      <c r="L238">
        <v>-9.3132257461547896E-19</v>
      </c>
      <c r="M238">
        <v>-3.8024814195997902E-5</v>
      </c>
      <c r="N238">
        <v>2.0874606282166399E-4</v>
      </c>
      <c r="O238">
        <v>-1.19609563470144E-4</v>
      </c>
      <c r="P238">
        <v>-1.62873801313942E-4</v>
      </c>
      <c r="Q238">
        <v>-2.19355758100001E-4</v>
      </c>
      <c r="R238">
        <v>-2.7517389723158799E-4</v>
      </c>
      <c r="S238">
        <v>-3.5519827802584701E-4</v>
      </c>
      <c r="T238">
        <v>-4.19579321441708E-4</v>
      </c>
      <c r="U238">
        <v>-4.8970279647489402E-4</v>
      </c>
      <c r="V238">
        <v>-5.7461370355808296E-4</v>
      </c>
      <c r="W238">
        <v>-6.8783452323216703E-4</v>
      </c>
      <c r="X238">
        <v>-8.4058395455149102E-4</v>
      </c>
      <c r="Y238">
        <v>-1.2463319110097E-3</v>
      </c>
      <c r="Z238">
        <v>-1.61067194124006E-3</v>
      </c>
      <c r="AA238">
        <v>-1.9388863861914401E-3</v>
      </c>
      <c r="AB238">
        <v>-2.32592562843919E-3</v>
      </c>
      <c r="AC238">
        <v>-2.6446577641459799E-3</v>
      </c>
      <c r="AD238">
        <v>-2.9247715406791898E-3</v>
      </c>
      <c r="AE238">
        <v>-3.1479093820700002E-3</v>
      </c>
      <c r="AF238">
        <v>-3.4465654785051699E-3</v>
      </c>
      <c r="AG238">
        <v>-3.8717053967382998E-3</v>
      </c>
      <c r="AH238">
        <v>-4.3856528384357803E-3</v>
      </c>
      <c r="AI238">
        <v>-5.0837748614321896E-3</v>
      </c>
      <c r="AJ238">
        <v>-6.0167144917435697E-3</v>
      </c>
      <c r="AK238">
        <v>-7.3665560818230603E-3</v>
      </c>
      <c r="AL238">
        <v>-9.2147832085383904E-3</v>
      </c>
      <c r="AM238">
        <v>-9.7529697635805705E-3</v>
      </c>
      <c r="AN238">
        <v>-1.01517873664329E-2</v>
      </c>
      <c r="AO238">
        <v>-9.3863760297788305E-3</v>
      </c>
      <c r="AP238">
        <v>-7.7027232613393198E-3</v>
      </c>
      <c r="AQ238">
        <v>-6.4540336498987603E-3</v>
      </c>
      <c r="AR238">
        <v>-5.6061191639416802E-3</v>
      </c>
      <c r="AS238">
        <v>-4.9132857723942804E-3</v>
      </c>
    </row>
    <row r="239" spans="1:45" x14ac:dyDescent="0.3">
      <c r="A239" t="s">
        <v>780</v>
      </c>
      <c r="B239" t="s">
        <v>686</v>
      </c>
      <c r="C239" t="s">
        <v>681</v>
      </c>
      <c r="D239" t="s">
        <v>719</v>
      </c>
      <c r="E239" t="s">
        <v>752</v>
      </c>
      <c r="F239">
        <v>-23.897946025837001</v>
      </c>
      <c r="G239">
        <v>0</v>
      </c>
      <c r="H239">
        <v>999</v>
      </c>
      <c r="I239">
        <v>999</v>
      </c>
      <c r="J239">
        <v>5.4292719389855602E-2</v>
      </c>
      <c r="K239">
        <v>4.9327843088651797E-2</v>
      </c>
      <c r="L239">
        <v>4.4344206992626201E-2</v>
      </c>
      <c r="M239">
        <v>5.4817581312247801E-2</v>
      </c>
      <c r="N239">
        <v>5.2232781186447003E-2</v>
      </c>
      <c r="O239">
        <v>4.8632184511237603E-2</v>
      </c>
      <c r="P239">
        <v>4.7143076534254799E-2</v>
      </c>
      <c r="Q239">
        <v>4.5634342030314801E-2</v>
      </c>
      <c r="R239">
        <v>4.4096172687276301E-2</v>
      </c>
      <c r="S239">
        <v>4.2542204837544603E-2</v>
      </c>
      <c r="T239">
        <v>4.1072825133543801E-2</v>
      </c>
      <c r="U239">
        <v>3.9717567518825603E-2</v>
      </c>
      <c r="V239">
        <v>3.8516025308213901E-2</v>
      </c>
      <c r="W239">
        <v>3.73667836625282E-2</v>
      </c>
      <c r="X239">
        <v>3.6272120099090102E-2</v>
      </c>
      <c r="Y239">
        <v>3.5206961649161699E-2</v>
      </c>
      <c r="Z239">
        <v>3.4185641791745297E-2</v>
      </c>
      <c r="AA239">
        <v>3.3179681871774003E-2</v>
      </c>
      <c r="AB239">
        <v>3.2174012727326499E-2</v>
      </c>
      <c r="AC239">
        <v>3.12180495344518E-2</v>
      </c>
      <c r="AD239">
        <v>3.0296846242784298E-2</v>
      </c>
      <c r="AE239">
        <v>2.93838593354998E-2</v>
      </c>
      <c r="AF239">
        <v>2.8520338169765999E-2</v>
      </c>
      <c r="AG239">
        <v>2.7684874635971302E-2</v>
      </c>
      <c r="AH239">
        <v>2.6888755566761499E-2</v>
      </c>
      <c r="AI239">
        <v>2.61004296114721E-2</v>
      </c>
      <c r="AJ239">
        <v>2.5340942991664901E-2</v>
      </c>
      <c r="AK239">
        <v>2.46029741981072E-2</v>
      </c>
      <c r="AL239">
        <v>2.3877570761866699E-2</v>
      </c>
      <c r="AM239">
        <v>2.3171298875407999E-2</v>
      </c>
      <c r="AN239">
        <v>2.2479878743202002E-2</v>
      </c>
      <c r="AO239">
        <v>2.1816867932083501E-2</v>
      </c>
      <c r="AP239">
        <v>2.11588613031659E-2</v>
      </c>
      <c r="AQ239">
        <v>2.0531219865898901E-2</v>
      </c>
      <c r="AR239">
        <v>1.99058943917109E-2</v>
      </c>
      <c r="AS239">
        <v>1.9304910863181899E-2</v>
      </c>
    </row>
    <row r="240" spans="1:45" x14ac:dyDescent="0.3">
      <c r="A240" t="s">
        <v>780</v>
      </c>
      <c r="B240" t="s">
        <v>685</v>
      </c>
      <c r="C240" t="s">
        <v>681</v>
      </c>
      <c r="D240" t="s">
        <v>719</v>
      </c>
      <c r="E240" t="s">
        <v>752</v>
      </c>
      <c r="F240">
        <v>-23.897946025837001</v>
      </c>
      <c r="G240">
        <v>0</v>
      </c>
      <c r="H240">
        <v>999</v>
      </c>
      <c r="I240">
        <v>999</v>
      </c>
      <c r="J240">
        <v>5.4292719389855602E-2</v>
      </c>
      <c r="K240">
        <v>4.9358183201648601E-2</v>
      </c>
      <c r="L240">
        <v>4.4396794107499998E-2</v>
      </c>
      <c r="M240">
        <v>5.4912465943536402E-2</v>
      </c>
      <c r="N240">
        <v>5.2349647467061201E-2</v>
      </c>
      <c r="O240">
        <v>4.8761109424011399E-2</v>
      </c>
      <c r="P240">
        <v>4.7284514534805699E-2</v>
      </c>
      <c r="Q240">
        <v>4.5784985970613201E-2</v>
      </c>
      <c r="R240">
        <v>4.4253058949851702E-2</v>
      </c>
      <c r="S240">
        <v>4.2702810856381099E-2</v>
      </c>
      <c r="T240">
        <v>4.12354477496953E-2</v>
      </c>
      <c r="U240">
        <v>3.9880531859453401E-2</v>
      </c>
      <c r="V240">
        <v>3.86786685371312E-2</v>
      </c>
      <c r="W240">
        <v>3.7528052534032803E-2</v>
      </c>
      <c r="X240">
        <v>3.64312683109407E-2</v>
      </c>
      <c r="Y240">
        <v>3.5363020662421703E-2</v>
      </c>
      <c r="Z240">
        <v>3.4337902521977597E-2</v>
      </c>
      <c r="AA240">
        <v>3.33277300698352E-2</v>
      </c>
      <c r="AB240">
        <v>3.23172055375964E-2</v>
      </c>
      <c r="AC240">
        <v>3.1356197149255097E-2</v>
      </c>
      <c r="AD240">
        <v>3.0429830042115701E-2</v>
      </c>
      <c r="AE240">
        <v>2.9511415661456701E-2</v>
      </c>
      <c r="AF240">
        <v>2.8640706946377999E-2</v>
      </c>
      <c r="AG240">
        <v>2.7798094999200301E-2</v>
      </c>
      <c r="AH240">
        <v>2.6996048785017102E-2</v>
      </c>
      <c r="AI240">
        <v>2.62019563315537E-2</v>
      </c>
      <c r="AJ240">
        <v>2.5437312749890698E-2</v>
      </c>
      <c r="AK240">
        <v>2.4694372800547398E-2</v>
      </c>
      <c r="AL240">
        <v>2.3964497906425301E-2</v>
      </c>
      <c r="AM240">
        <v>2.32541927036897E-2</v>
      </c>
      <c r="AN240">
        <v>2.2558590126065699E-2</v>
      </c>
      <c r="AO240">
        <v>2.1892046685906798E-2</v>
      </c>
      <c r="AP240">
        <v>2.1230381174698901E-2</v>
      </c>
      <c r="AQ240">
        <v>2.05996838873986E-2</v>
      </c>
      <c r="AR240">
        <v>1.9971225183993E-2</v>
      </c>
      <c r="AS240">
        <v>1.9367063676885701E-2</v>
      </c>
    </row>
    <row r="241" spans="1:45" x14ac:dyDescent="0.3">
      <c r="A241" t="s">
        <v>780</v>
      </c>
      <c r="B241" t="s">
        <v>684</v>
      </c>
      <c r="C241" t="s">
        <v>681</v>
      </c>
      <c r="D241" t="s">
        <v>719</v>
      </c>
      <c r="E241" t="s">
        <v>752</v>
      </c>
      <c r="F241">
        <v>-23.897946025837001</v>
      </c>
      <c r="G241">
        <v>0</v>
      </c>
      <c r="H241">
        <v>-230.340472037853</v>
      </c>
      <c r="I241">
        <v>-4341.4046158164201</v>
      </c>
      <c r="J241">
        <v>-7.6979631558060698E-18</v>
      </c>
      <c r="K241">
        <v>-7.6926794588472896E-4</v>
      </c>
      <c r="L241">
        <v>-1.5841701068449699E-3</v>
      </c>
      <c r="M241">
        <v>-3.1351856822595201E-3</v>
      </c>
      <c r="N241">
        <v>-3.9971462753711799E-3</v>
      </c>
      <c r="O241">
        <v>-4.0439860327661902E-3</v>
      </c>
      <c r="P241">
        <v>-4.1171892840154798E-3</v>
      </c>
      <c r="Q241">
        <v>-4.1288053843920097E-3</v>
      </c>
      <c r="R241">
        <v>-4.1030594910604597E-3</v>
      </c>
      <c r="S241">
        <v>-4.0214566894176997E-3</v>
      </c>
      <c r="T241">
        <v>-3.9090692984449201E-3</v>
      </c>
      <c r="U241">
        <v>-3.7955129738537299E-3</v>
      </c>
      <c r="V241">
        <v>-3.68332665212452E-3</v>
      </c>
      <c r="W241">
        <v>-3.5619618865325299E-3</v>
      </c>
      <c r="X241">
        <v>-3.4351603644138598E-3</v>
      </c>
      <c r="Y241">
        <v>-3.27862484240836E-3</v>
      </c>
      <c r="Z241">
        <v>-3.0925556227788002E-3</v>
      </c>
      <c r="AA241">
        <v>-2.8596227747738701E-3</v>
      </c>
      <c r="AB241">
        <v>-2.6207302056522001E-3</v>
      </c>
      <c r="AC241">
        <v>-2.3449627080644399E-3</v>
      </c>
      <c r="AD241">
        <v>-2.0320046738969201E-3</v>
      </c>
      <c r="AE241">
        <v>-1.70954403276571E-3</v>
      </c>
      <c r="AF241">
        <v>-1.23058119099956E-3</v>
      </c>
      <c r="AG241">
        <v>-6.5585653175276499E-4</v>
      </c>
      <c r="AH241">
        <v>5.6823310790230798E-5</v>
      </c>
      <c r="AI241">
        <v>9.3559795244672298E-4</v>
      </c>
      <c r="AJ241">
        <v>2.0655579310855801E-3</v>
      </c>
      <c r="AK241">
        <v>3.83675255530347E-3</v>
      </c>
      <c r="AL241">
        <v>4.2187987452729303E-3</v>
      </c>
      <c r="AM241">
        <v>3.5388380813223199E-3</v>
      </c>
      <c r="AN241">
        <v>2.6025623847023001E-3</v>
      </c>
      <c r="AO241">
        <v>1.88999303844053E-3</v>
      </c>
      <c r="AP241">
        <v>1.21537336594425E-3</v>
      </c>
      <c r="AQ241">
        <v>6.8825698719751096E-4</v>
      </c>
      <c r="AR241">
        <v>2.1373445904606099E-4</v>
      </c>
      <c r="AS241">
        <v>-4.7419694020742198E-4</v>
      </c>
    </row>
    <row r="242" spans="1:45" x14ac:dyDescent="0.3">
      <c r="A242" t="s">
        <v>780</v>
      </c>
      <c r="B242" t="s">
        <v>682</v>
      </c>
      <c r="C242" t="s">
        <v>681</v>
      </c>
      <c r="D242" t="s">
        <v>719</v>
      </c>
      <c r="E242" t="s">
        <v>752</v>
      </c>
      <c r="F242">
        <v>-23.897946025837001</v>
      </c>
      <c r="G242">
        <v>0</v>
      </c>
      <c r="H242">
        <v>-230.340472037853</v>
      </c>
      <c r="I242">
        <v>-4341.4046158164201</v>
      </c>
      <c r="J242">
        <v>-7.6979631558060698E-18</v>
      </c>
      <c r="K242">
        <v>-1.0903447028485201E-3</v>
      </c>
      <c r="L242">
        <v>-2.0887078417453101E-3</v>
      </c>
      <c r="M242">
        <v>-4.0468015119083803E-3</v>
      </c>
      <c r="N242">
        <v>-5.1816278341594198E-3</v>
      </c>
      <c r="O242">
        <v>-5.3337728375759501E-3</v>
      </c>
      <c r="P242">
        <v>-5.5760726509996097E-3</v>
      </c>
      <c r="Q242">
        <v>-5.7445538918428499E-3</v>
      </c>
      <c r="R242">
        <v>-5.8545141031746102E-3</v>
      </c>
      <c r="S242">
        <v>-5.8754400810332296E-3</v>
      </c>
      <c r="T242">
        <v>-5.85372660408311E-3</v>
      </c>
      <c r="U242">
        <v>-5.8152864369589597E-3</v>
      </c>
      <c r="V242">
        <v>-5.7651231193524199E-3</v>
      </c>
      <c r="W242">
        <v>-5.6894355657467303E-3</v>
      </c>
      <c r="X242">
        <v>-5.5898954597248798E-3</v>
      </c>
      <c r="Y242">
        <v>-5.44714299356898E-3</v>
      </c>
      <c r="Z242">
        <v>-5.2628639822161804E-3</v>
      </c>
      <c r="AA242">
        <v>-5.0207595390331997E-3</v>
      </c>
      <c r="AB242">
        <v>-4.7553528289057904E-3</v>
      </c>
      <c r="AC242">
        <v>-4.4417980101740997E-3</v>
      </c>
      <c r="AD242">
        <v>-4.0753047857131301E-3</v>
      </c>
      <c r="AE242">
        <v>-3.6559935071211898E-3</v>
      </c>
      <c r="AF242">
        <v>-3.0755172946153801E-3</v>
      </c>
      <c r="AG242">
        <v>-2.38408459714634E-3</v>
      </c>
      <c r="AH242">
        <v>-1.5249455770107801E-3</v>
      </c>
      <c r="AI242">
        <v>-5.0365482303540597E-4</v>
      </c>
      <c r="AJ242">
        <v>7.9221113209553299E-4</v>
      </c>
      <c r="AK242">
        <v>2.7876756188295999E-3</v>
      </c>
      <c r="AL242">
        <v>3.4226404833625399E-3</v>
      </c>
      <c r="AM242">
        <v>2.9827169799588201E-3</v>
      </c>
      <c r="AN242">
        <v>2.24277447277931E-3</v>
      </c>
      <c r="AO242">
        <v>1.6935095108171099E-3</v>
      </c>
      <c r="AP242">
        <v>1.1684253144681499E-3</v>
      </c>
      <c r="AQ242">
        <v>7.7307686182256203E-4</v>
      </c>
      <c r="AR242">
        <v>4.2203374067444597E-4</v>
      </c>
      <c r="AS242">
        <v>-1.90648382438999E-4</v>
      </c>
    </row>
    <row r="243" spans="1:45" x14ac:dyDescent="0.3">
      <c r="A243" t="s">
        <v>779</v>
      </c>
      <c r="B243" t="s">
        <v>686</v>
      </c>
      <c r="C243" t="s">
        <v>681</v>
      </c>
      <c r="D243" t="s">
        <v>719</v>
      </c>
      <c r="E243" t="s">
        <v>752</v>
      </c>
      <c r="F243">
        <v>999</v>
      </c>
      <c r="G243">
        <v>0</v>
      </c>
      <c r="H243">
        <v>-888.54323096839403</v>
      </c>
      <c r="I243">
        <v>-16747.059907226201</v>
      </c>
      <c r="J243">
        <v>0.13629029574588999</v>
      </c>
      <c r="K243">
        <v>0.12560052270536401</v>
      </c>
      <c r="L243">
        <v>0.116416388424277</v>
      </c>
      <c r="M243">
        <v>0.15281981371518499</v>
      </c>
      <c r="N243">
        <v>0.151356241021604</v>
      </c>
      <c r="O243">
        <v>0.147186323143463</v>
      </c>
      <c r="P243">
        <v>0.148717781666238</v>
      </c>
      <c r="Q243">
        <v>0.14991702075169699</v>
      </c>
      <c r="R243">
        <v>0.15072841956579699</v>
      </c>
      <c r="S243">
        <v>0.151159693897471</v>
      </c>
      <c r="T243">
        <v>0.15160659183395001</v>
      </c>
      <c r="U243">
        <v>0.15232853320519901</v>
      </c>
      <c r="V243">
        <v>0.153440588196748</v>
      </c>
      <c r="W243">
        <v>0.15457561416796001</v>
      </c>
      <c r="X243">
        <v>0.155777564280727</v>
      </c>
      <c r="Y243">
        <v>0.15696179677928601</v>
      </c>
      <c r="Z243">
        <v>0.15818555380348501</v>
      </c>
      <c r="AA243">
        <v>0.15927859135206299</v>
      </c>
      <c r="AB243">
        <v>0.160198689684315</v>
      </c>
      <c r="AC243">
        <v>0.16117014564963</v>
      </c>
      <c r="AD243">
        <v>0.16213049009993299</v>
      </c>
      <c r="AE243">
        <v>0.16300377556836301</v>
      </c>
      <c r="AF243">
        <v>0.163860552092367</v>
      </c>
      <c r="AG243">
        <v>0.164792557164672</v>
      </c>
      <c r="AH243">
        <v>0.16572136968388901</v>
      </c>
      <c r="AI243">
        <v>0.16656689363171001</v>
      </c>
      <c r="AJ243">
        <v>0.16738603743458699</v>
      </c>
      <c r="AK243">
        <v>0.168212325463407</v>
      </c>
      <c r="AL243">
        <v>0.16894701303974499</v>
      </c>
      <c r="AM243">
        <v>0.16963205578843099</v>
      </c>
      <c r="AN243">
        <v>0.17027330974886101</v>
      </c>
      <c r="AO243">
        <v>0.17090398719991601</v>
      </c>
      <c r="AP243">
        <v>0.171465157070436</v>
      </c>
      <c r="AQ243">
        <v>0.17199547658276201</v>
      </c>
      <c r="AR243">
        <v>0.172393778076468</v>
      </c>
      <c r="AS243">
        <v>0.172832602497073</v>
      </c>
    </row>
    <row r="244" spans="1:45" x14ac:dyDescent="0.3">
      <c r="A244" t="s">
        <v>779</v>
      </c>
      <c r="B244" t="s">
        <v>685</v>
      </c>
      <c r="C244" t="s">
        <v>681</v>
      </c>
      <c r="D244" t="s">
        <v>719</v>
      </c>
      <c r="E244" t="s">
        <v>752</v>
      </c>
      <c r="F244">
        <v>999</v>
      </c>
      <c r="G244">
        <v>0</v>
      </c>
      <c r="H244">
        <v>-888.54323096839403</v>
      </c>
      <c r="I244">
        <v>-16747.059907226201</v>
      </c>
      <c r="J244">
        <v>0.13629029574588999</v>
      </c>
      <c r="K244">
        <v>0.12549484111454001</v>
      </c>
      <c r="L244">
        <v>0.11622945567139401</v>
      </c>
      <c r="M244">
        <v>0.15246490794259199</v>
      </c>
      <c r="N244">
        <v>0.15090613822958199</v>
      </c>
      <c r="O244">
        <v>0.146662705798799</v>
      </c>
      <c r="P244">
        <v>0.14811248961207099</v>
      </c>
      <c r="Q244">
        <v>0.14924136060809501</v>
      </c>
      <c r="R244">
        <v>0.14999667105775899</v>
      </c>
      <c r="S244">
        <v>0.15038653891166001</v>
      </c>
      <c r="T244">
        <v>0.15080447926166901</v>
      </c>
      <c r="U244">
        <v>0.15150939695478999</v>
      </c>
      <c r="V244">
        <v>0.15261435664231099</v>
      </c>
      <c r="W244">
        <v>0.153753875842112</v>
      </c>
      <c r="X244">
        <v>0.154971170516533</v>
      </c>
      <c r="Y244">
        <v>0.15618139351551599</v>
      </c>
      <c r="Z244">
        <v>0.157440754970159</v>
      </c>
      <c r="AA244">
        <v>0.158578805253792</v>
      </c>
      <c r="AB244">
        <v>0.159552917797781</v>
      </c>
      <c r="AC244">
        <v>0.16058503574520899</v>
      </c>
      <c r="AD244">
        <v>0.1616182546247</v>
      </c>
      <c r="AE244">
        <v>0.16257943250380899</v>
      </c>
      <c r="AF244">
        <v>0.163523544264806</v>
      </c>
      <c r="AG244">
        <v>0.16454233063489099</v>
      </c>
      <c r="AH244">
        <v>0.165556883865349</v>
      </c>
      <c r="AI244">
        <v>0.166487775400324</v>
      </c>
      <c r="AJ244">
        <v>0.16739111774617399</v>
      </c>
      <c r="AK244">
        <v>0.16830063659656699</v>
      </c>
      <c r="AL244">
        <v>0.16911701834474899</v>
      </c>
      <c r="AM244">
        <v>0.169882098632959</v>
      </c>
      <c r="AN244">
        <v>0.17060202767093299</v>
      </c>
      <c r="AO244">
        <v>0.17130946848023901</v>
      </c>
      <c r="AP244">
        <v>0.17194573204680599</v>
      </c>
      <c r="AQ244">
        <v>0.17254916176853799</v>
      </c>
      <c r="AR244">
        <v>0.17301834591891299</v>
      </c>
      <c r="AS244">
        <v>0.173526594597922</v>
      </c>
    </row>
    <row r="245" spans="1:45" x14ac:dyDescent="0.3">
      <c r="A245" t="s">
        <v>779</v>
      </c>
      <c r="B245" t="s">
        <v>684</v>
      </c>
      <c r="C245" t="s">
        <v>681</v>
      </c>
      <c r="D245" t="s">
        <v>719</v>
      </c>
      <c r="E245" t="s">
        <v>752</v>
      </c>
      <c r="F245">
        <v>999</v>
      </c>
      <c r="G245">
        <v>0</v>
      </c>
      <c r="H245">
        <v>-8.4569067395969597</v>
      </c>
      <c r="I245">
        <v>-159.39384698657</v>
      </c>
      <c r="J245">
        <v>5.3551048040390001E-18</v>
      </c>
      <c r="K245">
        <v>-1.9564890778389901E-3</v>
      </c>
      <c r="L245">
        <v>-4.1392276789200899E-3</v>
      </c>
      <c r="M245">
        <v>-7.1094785712529198E-3</v>
      </c>
      <c r="N245">
        <v>-8.3503930717945801E-3</v>
      </c>
      <c r="O245">
        <v>-9.0861096035914201E-3</v>
      </c>
      <c r="P245">
        <v>-9.8362710934139907E-3</v>
      </c>
      <c r="Q245">
        <v>-1.04149043614546E-2</v>
      </c>
      <c r="R245">
        <v>-1.0872053453909101E-2</v>
      </c>
      <c r="S245">
        <v>-1.1149780326461601E-2</v>
      </c>
      <c r="T245">
        <v>-1.1301163240740601E-2</v>
      </c>
      <c r="U245">
        <v>-1.1422266414713399E-2</v>
      </c>
      <c r="V245">
        <v>-1.15249743580141E-2</v>
      </c>
      <c r="W245">
        <v>-1.15687151815027E-2</v>
      </c>
      <c r="X245">
        <v>-1.15701436133431E-2</v>
      </c>
      <c r="Y245">
        <v>-1.1429310851303999E-2</v>
      </c>
      <c r="Z245">
        <v>-1.1131205964695599E-2</v>
      </c>
      <c r="AA245">
        <v>-1.05893243506352E-2</v>
      </c>
      <c r="AB245">
        <v>-9.9569701507842105E-3</v>
      </c>
      <c r="AC245">
        <v>-9.0914641970907401E-3</v>
      </c>
      <c r="AD245">
        <v>-7.9641464112840399E-3</v>
      </c>
      <c r="AE245">
        <v>-6.7510259619454303E-3</v>
      </c>
      <c r="AF245">
        <v>-4.6110528555344402E-3</v>
      </c>
      <c r="AG245">
        <v>-1.8013367908249699E-3</v>
      </c>
      <c r="AH245">
        <v>1.93995410833922E-3</v>
      </c>
      <c r="AI245">
        <v>6.9052615104772102E-3</v>
      </c>
      <c r="AJ245">
        <v>1.36871644143638E-2</v>
      </c>
      <c r="AK245">
        <v>2.47815972324666E-2</v>
      </c>
      <c r="AL245">
        <v>2.9611790657931999E-2</v>
      </c>
      <c r="AM245">
        <v>2.5951991242343601E-2</v>
      </c>
      <c r="AN245">
        <v>2.0042981234822399E-2</v>
      </c>
      <c r="AO245">
        <v>1.49112879551153E-2</v>
      </c>
      <c r="AP245">
        <v>9.9559101964091703E-3</v>
      </c>
      <c r="AQ245">
        <v>6.2479969216923496E-3</v>
      </c>
      <c r="AR245">
        <v>3.43962223249042E-3</v>
      </c>
      <c r="AS245">
        <v>-2.1286201945909999E-3</v>
      </c>
    </row>
    <row r="246" spans="1:45" x14ac:dyDescent="0.3">
      <c r="A246" t="s">
        <v>779</v>
      </c>
      <c r="B246" t="s">
        <v>682</v>
      </c>
      <c r="C246" t="s">
        <v>681</v>
      </c>
      <c r="D246" t="s">
        <v>719</v>
      </c>
      <c r="E246" t="s">
        <v>752</v>
      </c>
      <c r="F246">
        <v>999</v>
      </c>
      <c r="G246">
        <v>0</v>
      </c>
      <c r="H246">
        <v>-8.4569067395969597</v>
      </c>
      <c r="I246">
        <v>-159.39384698657</v>
      </c>
      <c r="J246">
        <v>5.3551048040390001E-18</v>
      </c>
      <c r="K246">
        <v>-2.7662354044678799E-3</v>
      </c>
      <c r="L246">
        <v>-5.4412749156388602E-3</v>
      </c>
      <c r="M246">
        <v>-9.1549193851185699E-3</v>
      </c>
      <c r="N246">
        <v>-1.08108968869229E-2</v>
      </c>
      <c r="O246">
        <v>-1.19926860107058E-2</v>
      </c>
      <c r="P246">
        <v>-1.33689413950129E-2</v>
      </c>
      <c r="Q246">
        <v>-1.4589504010308301E-2</v>
      </c>
      <c r="R246">
        <v>-1.5674173534440599E-2</v>
      </c>
      <c r="S246">
        <v>-1.6520769427600401E-2</v>
      </c>
      <c r="T246">
        <v>-1.7235393144899001E-2</v>
      </c>
      <c r="U246">
        <v>-1.7901680961301701E-2</v>
      </c>
      <c r="V246">
        <v>-1.85324698479633E-2</v>
      </c>
      <c r="W246">
        <v>-1.9070033077988099E-2</v>
      </c>
      <c r="X246">
        <v>-1.9518056903818699E-2</v>
      </c>
      <c r="Y246">
        <v>-1.9789454708680401E-2</v>
      </c>
      <c r="Z246">
        <v>-1.9869158112713899E-2</v>
      </c>
      <c r="AA246">
        <v>-1.9669034455753399E-2</v>
      </c>
      <c r="AB246">
        <v>-1.93069637869712E-2</v>
      </c>
      <c r="AC246">
        <v>-1.8617508884202098E-2</v>
      </c>
      <c r="AD246">
        <v>-1.7495016314097101E-2</v>
      </c>
      <c r="AE246">
        <v>-1.6230782506310399E-2</v>
      </c>
      <c r="AF246">
        <v>-1.39477387794572E-2</v>
      </c>
      <c r="AG246">
        <v>-1.08933283322843E-2</v>
      </c>
      <c r="AH246">
        <v>-6.8206619815155602E-3</v>
      </c>
      <c r="AI246">
        <v>-1.40746690301383E-3</v>
      </c>
      <c r="AJ246">
        <v>6.0015635841745296E-3</v>
      </c>
      <c r="AK246">
        <v>1.8109265453696999E-2</v>
      </c>
      <c r="AL246">
        <v>2.4350315425218001E-2</v>
      </c>
      <c r="AM246">
        <v>2.2215024691391201E-2</v>
      </c>
      <c r="AN246">
        <v>1.7610330636705699E-2</v>
      </c>
      <c r="AO246">
        <v>1.35967965846181E-2</v>
      </c>
      <c r="AP246">
        <v>9.6933255021566106E-3</v>
      </c>
      <c r="AQ246">
        <v>6.9400420338417501E-3</v>
      </c>
      <c r="AR246">
        <v>5.08890207680929E-3</v>
      </c>
      <c r="AS246">
        <v>1.6242537629315701E-4</v>
      </c>
    </row>
    <row r="247" spans="1:45" x14ac:dyDescent="0.3">
      <c r="A247" t="s">
        <v>778</v>
      </c>
      <c r="B247" t="s">
        <v>686</v>
      </c>
      <c r="C247" t="s">
        <v>681</v>
      </c>
      <c r="D247" t="s">
        <v>719</v>
      </c>
      <c r="E247" t="s">
        <v>752</v>
      </c>
      <c r="F247">
        <v>-14.966544898031399</v>
      </c>
      <c r="G247">
        <v>999</v>
      </c>
      <c r="H247">
        <v>803.17887535258899</v>
      </c>
      <c r="I247">
        <v>11344.763191227201</v>
      </c>
      <c r="J247">
        <v>3.10032843567544E-3</v>
      </c>
      <c r="K247">
        <v>3.2238777278919E-3</v>
      </c>
      <c r="L247">
        <v>2.8706274657249301E-3</v>
      </c>
      <c r="M247">
        <v>3.2211757084607499E-3</v>
      </c>
      <c r="N247">
        <v>3.06160897597704E-3</v>
      </c>
      <c r="O247">
        <v>2.7931491246545501E-3</v>
      </c>
      <c r="P247">
        <v>2.7264031461211599E-3</v>
      </c>
      <c r="Q247">
        <v>2.6641929751453899E-3</v>
      </c>
      <c r="R247">
        <v>2.60275227017526E-3</v>
      </c>
      <c r="S247">
        <v>2.5343492926151998E-3</v>
      </c>
      <c r="T247">
        <v>2.4520390776946099E-3</v>
      </c>
      <c r="U247">
        <v>2.3699247027604E-3</v>
      </c>
      <c r="V247">
        <v>2.2884776835694598E-3</v>
      </c>
      <c r="W247">
        <v>2.2120062894976202E-3</v>
      </c>
      <c r="X247">
        <v>2.14077486374816E-3</v>
      </c>
      <c r="Y247">
        <v>2.07249507044836E-3</v>
      </c>
      <c r="Z247">
        <v>2.0088052540126302E-3</v>
      </c>
      <c r="AA247">
        <v>1.94623946060223E-3</v>
      </c>
      <c r="AB247">
        <v>1.8858196267190299E-3</v>
      </c>
      <c r="AC247">
        <v>1.8295438746920099E-3</v>
      </c>
      <c r="AD247">
        <v>1.7739620789482299E-3</v>
      </c>
      <c r="AE247">
        <v>1.71956703651259E-3</v>
      </c>
      <c r="AF247">
        <v>1.66906092818474E-3</v>
      </c>
      <c r="AG247">
        <v>1.6203313207356501E-3</v>
      </c>
      <c r="AH247">
        <v>1.57306823478036E-3</v>
      </c>
      <c r="AI247">
        <v>1.5260787537826801E-3</v>
      </c>
      <c r="AJ247">
        <v>1.4818974982005199E-3</v>
      </c>
      <c r="AK247">
        <v>1.4394458385965799E-3</v>
      </c>
      <c r="AL247">
        <v>1.3994916401062201E-3</v>
      </c>
      <c r="AM247">
        <v>1.3609726419982001E-3</v>
      </c>
      <c r="AN247">
        <v>1.3232030547525499E-3</v>
      </c>
      <c r="AO247">
        <v>1.28689661042625E-3</v>
      </c>
      <c r="AP247">
        <v>1.2541229535683799E-3</v>
      </c>
      <c r="AQ247">
        <v>1.21958504877421E-3</v>
      </c>
      <c r="AR247">
        <v>1.18674686070941E-3</v>
      </c>
      <c r="AS247">
        <v>1.15431112922249E-3</v>
      </c>
    </row>
    <row r="248" spans="1:45" x14ac:dyDescent="0.3">
      <c r="A248" t="s">
        <v>778</v>
      </c>
      <c r="B248" t="s">
        <v>685</v>
      </c>
      <c r="C248" t="s">
        <v>681</v>
      </c>
      <c r="D248" t="s">
        <v>719</v>
      </c>
      <c r="E248" t="s">
        <v>752</v>
      </c>
      <c r="F248">
        <v>-14.966544898031399</v>
      </c>
      <c r="G248">
        <v>999</v>
      </c>
      <c r="H248">
        <v>803.17887535258899</v>
      </c>
      <c r="I248">
        <v>11344.763191227201</v>
      </c>
      <c r="J248">
        <v>3.10032843567544E-3</v>
      </c>
      <c r="K248">
        <v>3.0773768612535899E-3</v>
      </c>
      <c r="L248">
        <v>2.6193178055107002E-3</v>
      </c>
      <c r="M248">
        <v>2.8079299625987102E-3</v>
      </c>
      <c r="N248">
        <v>2.5487557802934399E-3</v>
      </c>
      <c r="O248">
        <v>2.2233317425708601E-3</v>
      </c>
      <c r="P248">
        <v>2.0753733078175398E-3</v>
      </c>
      <c r="Q248">
        <v>1.93979870763492E-3</v>
      </c>
      <c r="R248">
        <v>1.8129666041010301E-3</v>
      </c>
      <c r="S248">
        <v>1.6890443300081001E-3</v>
      </c>
      <c r="T248">
        <v>1.56375287909527E-3</v>
      </c>
      <c r="U248">
        <v>1.4463314705139201E-3</v>
      </c>
      <c r="V248">
        <v>1.3366435649510499E-3</v>
      </c>
      <c r="W248">
        <v>1.23669666791168E-3</v>
      </c>
      <c r="X248">
        <v>1.14597125230199E-3</v>
      </c>
      <c r="Y248">
        <v>1.06261832808437E-3</v>
      </c>
      <c r="Z248">
        <v>9.8603970568118902E-4</v>
      </c>
      <c r="AA248">
        <v>9.1497786108104304E-4</v>
      </c>
      <c r="AB248">
        <v>8.4956679760116605E-4</v>
      </c>
      <c r="AC248">
        <v>7.9025994556717802E-4</v>
      </c>
      <c r="AD248">
        <v>7.3528648764882196E-4</v>
      </c>
      <c r="AE248">
        <v>6.8449223947390195E-4</v>
      </c>
      <c r="AF248">
        <v>6.6371727338284997E-4</v>
      </c>
      <c r="AG248">
        <v>6.4368242007168796E-4</v>
      </c>
      <c r="AH248">
        <v>6.2440196618147403E-4</v>
      </c>
      <c r="AI248">
        <v>6.0515805620358601E-4</v>
      </c>
      <c r="AJ248">
        <v>5.8641081746385701E-4</v>
      </c>
      <c r="AK248">
        <v>5.6844538793901197E-4</v>
      </c>
      <c r="AL248">
        <v>5.5153921023706699E-4</v>
      </c>
      <c r="AM248">
        <v>5.3536809428936705E-4</v>
      </c>
      <c r="AN248">
        <v>5.1959556335190698E-4</v>
      </c>
      <c r="AO248">
        <v>5.0444910040294596E-4</v>
      </c>
      <c r="AP248">
        <v>4.90784675280885E-4</v>
      </c>
      <c r="AQ248">
        <v>4.7648401693096298E-4</v>
      </c>
      <c r="AR248">
        <v>4.6298022538293599E-4</v>
      </c>
      <c r="AS248">
        <v>4.4966783285692302E-4</v>
      </c>
    </row>
    <row r="249" spans="1:45" x14ac:dyDescent="0.3">
      <c r="A249" t="s">
        <v>778</v>
      </c>
      <c r="B249" t="s">
        <v>684</v>
      </c>
      <c r="C249" t="s">
        <v>681</v>
      </c>
      <c r="D249" t="s">
        <v>719</v>
      </c>
      <c r="E249" t="s">
        <v>752</v>
      </c>
      <c r="F249">
        <v>-14.966544898031399</v>
      </c>
      <c r="G249">
        <v>999</v>
      </c>
      <c r="H249">
        <v>1193.3635902099199</v>
      </c>
      <c r="I249">
        <v>16856.055042559499</v>
      </c>
      <c r="J249">
        <v>-7.6397554948925994E-20</v>
      </c>
      <c r="K249">
        <v>4.7075543449066502E-5</v>
      </c>
      <c r="L249">
        <v>8.08857096174017E-5</v>
      </c>
      <c r="M249">
        <v>1.50792468752679E-4</v>
      </c>
      <c r="N249">
        <v>2.0179332118959399E-4</v>
      </c>
      <c r="O249">
        <v>2.36824439177403E-4</v>
      </c>
      <c r="P249">
        <v>2.8363848777685299E-4</v>
      </c>
      <c r="Q249">
        <v>3.29090125661223E-4</v>
      </c>
      <c r="R249">
        <v>3.7238131065230702E-4</v>
      </c>
      <c r="S249">
        <v>4.1662732628811402E-4</v>
      </c>
      <c r="T249">
        <v>4.55320182263398E-4</v>
      </c>
      <c r="U249">
        <v>4.9053171263217202E-4</v>
      </c>
      <c r="V249">
        <v>5.2269610147230496E-4</v>
      </c>
      <c r="W249">
        <v>5.5330298015971401E-4</v>
      </c>
      <c r="X249">
        <v>5.8264146072256997E-4</v>
      </c>
      <c r="Y249">
        <v>6.1120322990868502E-4</v>
      </c>
      <c r="Z249">
        <v>6.3998969803897795E-4</v>
      </c>
      <c r="AA249">
        <v>6.6818549848519395E-4</v>
      </c>
      <c r="AB249">
        <v>6.94838310096614E-4</v>
      </c>
      <c r="AC249">
        <v>7.2205433063137598E-4</v>
      </c>
      <c r="AD249">
        <v>7.4786522179358904E-4</v>
      </c>
      <c r="AE249">
        <v>7.7375209377502697E-4</v>
      </c>
      <c r="AF249">
        <v>7.9151806773316799E-4</v>
      </c>
      <c r="AG249">
        <v>8.1420370436452905E-4</v>
      </c>
      <c r="AH249">
        <v>8.4248392242074102E-4</v>
      </c>
      <c r="AI249">
        <v>8.7136371967627799E-4</v>
      </c>
      <c r="AJ249">
        <v>9.0874963539610903E-4</v>
      </c>
      <c r="AK249">
        <v>9.5154591225542196E-4</v>
      </c>
      <c r="AL249">
        <v>9.6172223780575797E-4</v>
      </c>
      <c r="AM249">
        <v>9.4210420817976296E-4</v>
      </c>
      <c r="AN249">
        <v>8.9634182272865803E-4</v>
      </c>
      <c r="AO249">
        <v>8.42799000941491E-4</v>
      </c>
      <c r="AP249">
        <v>7.9269513710069196E-4</v>
      </c>
      <c r="AQ249">
        <v>7.4734307768734801E-4</v>
      </c>
      <c r="AR249">
        <v>7.03234697419282E-4</v>
      </c>
      <c r="AS249">
        <v>6.5980668554371704E-4</v>
      </c>
    </row>
    <row r="250" spans="1:45" x14ac:dyDescent="0.3">
      <c r="A250" t="s">
        <v>778</v>
      </c>
      <c r="B250" t="s">
        <v>682</v>
      </c>
      <c r="C250" t="s">
        <v>681</v>
      </c>
      <c r="D250" t="s">
        <v>719</v>
      </c>
      <c r="E250" t="s">
        <v>752</v>
      </c>
      <c r="F250">
        <v>-14.966544898031399</v>
      </c>
      <c r="G250">
        <v>999</v>
      </c>
      <c r="H250">
        <v>1193.3635902099199</v>
      </c>
      <c r="I250">
        <v>16856.055042559499</v>
      </c>
      <c r="J250">
        <v>-7.6397554948925994E-20</v>
      </c>
      <c r="K250">
        <v>8.8983946719437692E-6</v>
      </c>
      <c r="L250">
        <v>1.31383897214369E-5</v>
      </c>
      <c r="M250">
        <v>2.7057178551994999E-5</v>
      </c>
      <c r="N250">
        <v>3.25765155083996E-5</v>
      </c>
      <c r="O250">
        <v>3.3956423632254003E-5</v>
      </c>
      <c r="P250">
        <v>3.6291947403650901E-5</v>
      </c>
      <c r="Q250">
        <v>3.8214366288395303E-5</v>
      </c>
      <c r="R250">
        <v>3.9850987464774798E-5</v>
      </c>
      <c r="S250">
        <v>4.5072731771664902E-5</v>
      </c>
      <c r="T250">
        <v>4.9823274147310397E-5</v>
      </c>
      <c r="U250">
        <v>5.4567657009247897E-5</v>
      </c>
      <c r="V250">
        <v>5.9713960425462998E-5</v>
      </c>
      <c r="W250">
        <v>6.5710308824456695E-5</v>
      </c>
      <c r="X250">
        <v>7.2606502810273807E-5</v>
      </c>
      <c r="Y250">
        <v>8.0871313538850094E-5</v>
      </c>
      <c r="Z250">
        <v>9.0665802415680207E-5</v>
      </c>
      <c r="AA250">
        <v>1.0182816661653899E-4</v>
      </c>
      <c r="AB250">
        <v>1.13413033158457E-4</v>
      </c>
      <c r="AC250">
        <v>1.2645311120077101E-4</v>
      </c>
      <c r="AD250">
        <v>1.4072228931620901E-4</v>
      </c>
      <c r="AE250">
        <v>1.5687824822163801E-4</v>
      </c>
      <c r="AF250">
        <v>1.7644730419894301E-4</v>
      </c>
      <c r="AG250">
        <v>1.9897218882489599E-4</v>
      </c>
      <c r="AH250">
        <v>2.2510335046056599E-4</v>
      </c>
      <c r="AI250">
        <v>2.5154922538590802E-4</v>
      </c>
      <c r="AJ250">
        <v>2.7933609578746502E-4</v>
      </c>
      <c r="AK250">
        <v>3.1083674645232399E-4</v>
      </c>
      <c r="AL250">
        <v>3.2832423006421199E-4</v>
      </c>
      <c r="AM250">
        <v>3.3421353192769301E-4</v>
      </c>
      <c r="AN250">
        <v>3.29155899408691E-4</v>
      </c>
      <c r="AO250">
        <v>3.2069205908429201E-4</v>
      </c>
      <c r="AP250">
        <v>3.1300989465708799E-4</v>
      </c>
      <c r="AQ250">
        <v>3.0552300282623901E-4</v>
      </c>
      <c r="AR250">
        <v>2.9775284048408302E-4</v>
      </c>
      <c r="AS250">
        <v>2.89807509760931E-4</v>
      </c>
    </row>
    <row r="251" spans="1:45" x14ac:dyDescent="0.3">
      <c r="A251" t="s">
        <v>777</v>
      </c>
      <c r="B251" t="s">
        <v>686</v>
      </c>
      <c r="C251" t="s">
        <v>681</v>
      </c>
      <c r="D251" t="s">
        <v>719</v>
      </c>
      <c r="E251" t="s">
        <v>752</v>
      </c>
      <c r="F251">
        <v>-12.356167577125101</v>
      </c>
      <c r="G251">
        <v>999</v>
      </c>
      <c r="H251">
        <v>351.60438688810899</v>
      </c>
      <c r="I251">
        <v>4966.3513678583204</v>
      </c>
      <c r="J251">
        <v>9.1267746432456304E-4</v>
      </c>
      <c r="K251">
        <v>1.0079127721081E-3</v>
      </c>
      <c r="L251">
        <v>9.7730033427507199E-4</v>
      </c>
      <c r="M251">
        <v>1.19089669153925E-3</v>
      </c>
      <c r="N251">
        <v>1.2084552240229599E-3</v>
      </c>
      <c r="O251">
        <v>1.18788877534545E-3</v>
      </c>
      <c r="P251">
        <v>1.2364586538788499E-3</v>
      </c>
      <c r="Q251">
        <v>1.2864928248546099E-3</v>
      </c>
      <c r="R251">
        <v>1.3325777298247401E-3</v>
      </c>
      <c r="S251">
        <v>1.3690092073847999E-3</v>
      </c>
      <c r="T251">
        <v>1.40081462230539E-3</v>
      </c>
      <c r="U251">
        <v>1.4258434972396E-3</v>
      </c>
      <c r="V251">
        <v>1.4472914164305401E-3</v>
      </c>
      <c r="W251">
        <v>1.4726082105023801E-3</v>
      </c>
      <c r="X251">
        <v>1.4940565362518399E-3</v>
      </c>
      <c r="Y251">
        <v>1.51787712955164E-3</v>
      </c>
      <c r="Z251">
        <v>1.5405724459873699E-3</v>
      </c>
      <c r="AA251">
        <v>1.56265243939777E-3</v>
      </c>
      <c r="AB251">
        <v>1.5819206732809699E-3</v>
      </c>
      <c r="AC251">
        <v>1.60172142530799E-3</v>
      </c>
      <c r="AD251">
        <v>1.6207723210517699E-3</v>
      </c>
      <c r="AE251">
        <v>1.6366550634874101E-3</v>
      </c>
      <c r="AF251">
        <v>1.6541562718152599E-3</v>
      </c>
      <c r="AG251">
        <v>1.67120467926435E-3</v>
      </c>
      <c r="AH251">
        <v>1.68595556521964E-3</v>
      </c>
      <c r="AI251">
        <v>1.6985447462173201E-3</v>
      </c>
      <c r="AJ251">
        <v>1.71302620179948E-3</v>
      </c>
      <c r="AK251">
        <v>1.7246968614034199E-3</v>
      </c>
      <c r="AL251">
        <v>1.7370897598937801E-3</v>
      </c>
      <c r="AM251">
        <v>1.7508598580018E-3</v>
      </c>
      <c r="AN251">
        <v>1.76428804524745E-3</v>
      </c>
      <c r="AO251">
        <v>1.7783755895737501E-3</v>
      </c>
      <c r="AP251">
        <v>1.7909198464316201E-3</v>
      </c>
      <c r="AQ251">
        <v>1.8041710512258001E-3</v>
      </c>
      <c r="AR251">
        <v>1.81476643929059E-3</v>
      </c>
      <c r="AS251">
        <v>1.8265652707775101E-3</v>
      </c>
    </row>
    <row r="252" spans="1:45" x14ac:dyDescent="0.3">
      <c r="A252" t="s">
        <v>777</v>
      </c>
      <c r="B252" t="s">
        <v>685</v>
      </c>
      <c r="C252" t="s">
        <v>681</v>
      </c>
      <c r="D252" t="s">
        <v>719</v>
      </c>
      <c r="E252" t="s">
        <v>752</v>
      </c>
      <c r="F252">
        <v>-12.356167577125101</v>
      </c>
      <c r="G252">
        <v>999</v>
      </c>
      <c r="H252">
        <v>351.60438688810899</v>
      </c>
      <c r="I252">
        <v>4966.3513678583204</v>
      </c>
      <c r="J252">
        <v>9.1267746432456304E-4</v>
      </c>
      <c r="K252">
        <v>9.6242433314500195E-4</v>
      </c>
      <c r="L252">
        <v>8.9172322324195604E-4</v>
      </c>
      <c r="M252">
        <v>1.0373564427202801E-3</v>
      </c>
      <c r="N252">
        <v>1.00427103402005E-3</v>
      </c>
      <c r="O252">
        <v>9.4319330146831195E-4</v>
      </c>
      <c r="P252">
        <v>9.3817488766234603E-4</v>
      </c>
      <c r="Q252">
        <v>9.3300867473836797E-4</v>
      </c>
      <c r="R252">
        <v>9.2397296341088005E-4</v>
      </c>
      <c r="S252">
        <v>9.07737727889693E-4</v>
      </c>
      <c r="T252">
        <v>8.88242091878274E-4</v>
      </c>
      <c r="U252">
        <v>8.6466371622032296E-4</v>
      </c>
      <c r="V252">
        <v>8.3942261924838297E-4</v>
      </c>
      <c r="W252">
        <v>8.1707840539137102E-4</v>
      </c>
      <c r="X252">
        <v>7.93279957925071E-4</v>
      </c>
      <c r="Y252">
        <v>7.71644650748484E-4</v>
      </c>
      <c r="Z252">
        <v>7.5019628061218601E-4</v>
      </c>
      <c r="AA252">
        <v>7.2941698752812501E-4</v>
      </c>
      <c r="AB252">
        <v>7.0834525898609297E-4</v>
      </c>
      <c r="AC252">
        <v>6.88682648658455E-4</v>
      </c>
      <c r="AD252">
        <v>6.7763405985312103E-4</v>
      </c>
      <c r="AE252">
        <v>6.8421538409518703E-4</v>
      </c>
      <c r="AF252">
        <v>6.9146616122251695E-4</v>
      </c>
      <c r="AG252">
        <v>6.9861800669454002E-4</v>
      </c>
      <c r="AH252">
        <v>7.0374005913061198E-4</v>
      </c>
      <c r="AI252">
        <v>7.0812261684168195E-4</v>
      </c>
      <c r="AJ252">
        <v>7.1325022591238398E-4</v>
      </c>
      <c r="AK252">
        <v>7.1725618756409305E-4</v>
      </c>
      <c r="AL252">
        <v>7.2156680451192798E-4</v>
      </c>
      <c r="AM252">
        <v>7.2641940468852104E-4</v>
      </c>
      <c r="AN252">
        <v>7.3117758215350103E-4</v>
      </c>
      <c r="AO252">
        <v>7.3624176249329604E-4</v>
      </c>
      <c r="AP252">
        <v>7.4069934720662905E-4</v>
      </c>
      <c r="AQ252">
        <v>7.4548994270926504E-4</v>
      </c>
      <c r="AR252">
        <v>7.4906706645345403E-4</v>
      </c>
      <c r="AS252">
        <v>7.5322403336886804E-4</v>
      </c>
    </row>
    <row r="253" spans="1:45" x14ac:dyDescent="0.3">
      <c r="A253" t="s">
        <v>777</v>
      </c>
      <c r="B253" t="s">
        <v>684</v>
      </c>
      <c r="C253" t="s">
        <v>681</v>
      </c>
      <c r="D253" t="s">
        <v>719</v>
      </c>
      <c r="E253" t="s">
        <v>752</v>
      </c>
      <c r="F253">
        <v>-12.356167577125101</v>
      </c>
      <c r="G253">
        <v>999</v>
      </c>
      <c r="H253">
        <v>506.42275203764501</v>
      </c>
      <c r="I253">
        <v>7153.1340935660901</v>
      </c>
      <c r="J253">
        <v>-9.84528014669195E-20</v>
      </c>
      <c r="K253">
        <v>1.1046891081179E-5</v>
      </c>
      <c r="L253">
        <v>2.1221763661577499E-5</v>
      </c>
      <c r="M253">
        <v>4.36540045158743E-5</v>
      </c>
      <c r="N253">
        <v>6.3829802085813906E-5</v>
      </c>
      <c r="O253">
        <v>8.2197338694038499E-5</v>
      </c>
      <c r="P253">
        <v>1.07142674338479E-4</v>
      </c>
      <c r="Q253">
        <v>1.3464107958508799E-4</v>
      </c>
      <c r="R253">
        <v>1.64416135925137E-4</v>
      </c>
      <c r="S253">
        <v>1.9769791206245501E-4</v>
      </c>
      <c r="T253">
        <v>2.3199020977976E-4</v>
      </c>
      <c r="U253">
        <v>2.66821334509274E-4</v>
      </c>
      <c r="V253">
        <v>3.02333687682291E-4</v>
      </c>
      <c r="W253">
        <v>3.4004689579757402E-4</v>
      </c>
      <c r="X253">
        <v>3.7897881436021102E-4</v>
      </c>
      <c r="Y253">
        <v>4.2078026549178897E-4</v>
      </c>
      <c r="Z253">
        <v>4.6503805782703599E-4</v>
      </c>
      <c r="AA253">
        <v>5.1227100442605199E-4</v>
      </c>
      <c r="AB253">
        <v>5.60730282653901E-4</v>
      </c>
      <c r="AC253">
        <v>6.0983373603885004E-4</v>
      </c>
      <c r="AD253">
        <v>6.5548455389923303E-4</v>
      </c>
      <c r="AE253">
        <v>7.1165864435023896E-4</v>
      </c>
      <c r="AF253">
        <v>7.6429642104073995E-4</v>
      </c>
      <c r="AG253">
        <v>8.2509272028284696E-4</v>
      </c>
      <c r="AH253">
        <v>9.0318455892719296E-4</v>
      </c>
      <c r="AI253">
        <v>9.849331665749651E-4</v>
      </c>
      <c r="AJ253">
        <v>1.0730629233775899E-3</v>
      </c>
      <c r="AK253">
        <v>1.1721283722204E-3</v>
      </c>
      <c r="AL253">
        <v>1.2071583587540599E-3</v>
      </c>
      <c r="AM253">
        <v>1.2045394534843401E-3</v>
      </c>
      <c r="AN253">
        <v>1.1759936169363401E-3</v>
      </c>
      <c r="AO253">
        <v>1.1380182888789099E-3</v>
      </c>
      <c r="AP253">
        <v>1.09838785854791E-3</v>
      </c>
      <c r="AQ253">
        <v>1.0671853299159899E-3</v>
      </c>
      <c r="AR253">
        <v>1.0334790397840399E-3</v>
      </c>
      <c r="AS253">
        <v>9.9911152746952401E-4</v>
      </c>
    </row>
    <row r="254" spans="1:45" x14ac:dyDescent="0.3">
      <c r="A254" t="s">
        <v>777</v>
      </c>
      <c r="B254" t="s">
        <v>682</v>
      </c>
      <c r="C254" t="s">
        <v>681</v>
      </c>
      <c r="D254" t="s">
        <v>719</v>
      </c>
      <c r="E254" t="s">
        <v>752</v>
      </c>
      <c r="F254">
        <v>-12.356167577125101</v>
      </c>
      <c r="G254">
        <v>999</v>
      </c>
      <c r="H254">
        <v>506.42275203764501</v>
      </c>
      <c r="I254">
        <v>7153.1340935660901</v>
      </c>
      <c r="J254">
        <v>-9.84528014669195E-20</v>
      </c>
      <c r="K254">
        <v>-1.21064637243434E-6</v>
      </c>
      <c r="L254">
        <v>-2.4297545425798098E-6</v>
      </c>
      <c r="M254">
        <v>-2.8243481974637298E-6</v>
      </c>
      <c r="N254">
        <v>-3.5225032207746099E-6</v>
      </c>
      <c r="O254">
        <v>-4.33958303849435E-6</v>
      </c>
      <c r="P254">
        <v>-4.9334999048469897E-6</v>
      </c>
      <c r="Q254">
        <v>-5.24469394869009E-6</v>
      </c>
      <c r="R254">
        <v>-4.7635178971046901E-6</v>
      </c>
      <c r="S254">
        <v>-1.43391133932094E-6</v>
      </c>
      <c r="T254">
        <v>2.4235413179382101E-6</v>
      </c>
      <c r="U254">
        <v>7.0636188547581102E-6</v>
      </c>
      <c r="V254">
        <v>1.2495978160199099E-5</v>
      </c>
      <c r="W254">
        <v>1.89126171551403E-5</v>
      </c>
      <c r="X254">
        <v>2.68588074911491E-5</v>
      </c>
      <c r="Y254">
        <v>3.6592533379307902E-5</v>
      </c>
      <c r="Z254">
        <v>4.8239307151603099E-5</v>
      </c>
      <c r="AA254">
        <v>6.22161271810396E-5</v>
      </c>
      <c r="AB254">
        <v>7.7807893957848999E-5</v>
      </c>
      <c r="AC254">
        <v>9.5622567063797801E-5</v>
      </c>
      <c r="AD254">
        <v>1.16047822602109E-4</v>
      </c>
      <c r="AE254">
        <v>1.4258461745046599E-4</v>
      </c>
      <c r="AF254">
        <v>1.72414442854351E-4</v>
      </c>
      <c r="AG254">
        <v>2.07931343796475E-4</v>
      </c>
      <c r="AH254">
        <v>2.5097940067732598E-4</v>
      </c>
      <c r="AI254">
        <v>2.9729272356886601E-4</v>
      </c>
      <c r="AJ254">
        <v>3.4787559503584502E-4</v>
      </c>
      <c r="AK254">
        <v>4.06785204180911E-4</v>
      </c>
      <c r="AL254">
        <v>4.3822968757281498E-4</v>
      </c>
      <c r="AM254">
        <v>4.5512334067186798E-4</v>
      </c>
      <c r="AN254">
        <v>4.6146278860666998E-4</v>
      </c>
      <c r="AO254">
        <v>4.6473284912685898E-4</v>
      </c>
      <c r="AP254">
        <v>4.6759453071082299E-4</v>
      </c>
      <c r="AQ254">
        <v>4.7228251197110101E-4</v>
      </c>
      <c r="AR254">
        <v>4.75192666596278E-4</v>
      </c>
      <c r="AS254">
        <v>4.7832470837541098E-4</v>
      </c>
    </row>
    <row r="255" spans="1:45" x14ac:dyDescent="0.3">
      <c r="A255" t="s">
        <v>776</v>
      </c>
      <c r="B255" t="s">
        <v>686</v>
      </c>
      <c r="C255" t="s">
        <v>681</v>
      </c>
      <c r="D255" t="s">
        <v>719</v>
      </c>
      <c r="E255" t="s">
        <v>22</v>
      </c>
      <c r="F255">
        <v>-28.575532602388499</v>
      </c>
      <c r="G255">
        <v>999</v>
      </c>
      <c r="H255">
        <v>812.362860747627</v>
      </c>
      <c r="I255">
        <v>11474.4854021266</v>
      </c>
      <c r="J255">
        <v>7.7502080000000002E-4</v>
      </c>
      <c r="K255">
        <v>8.3318610000000001E-4</v>
      </c>
      <c r="L255">
        <v>8.342833E-4</v>
      </c>
      <c r="M255">
        <v>7.9998210000000001E-4</v>
      </c>
      <c r="N255">
        <v>7.6459740000000003E-4</v>
      </c>
      <c r="O255">
        <v>7.5499689999999995E-4</v>
      </c>
      <c r="P255">
        <v>7.5417400000000003E-4</v>
      </c>
      <c r="Q255">
        <v>7.5389969999999995E-4</v>
      </c>
      <c r="R255">
        <v>7.5225390000000002E-4</v>
      </c>
      <c r="S255">
        <v>7.4759079999999996E-4</v>
      </c>
      <c r="T255">
        <v>7.3991040000000001E-4</v>
      </c>
      <c r="U255">
        <v>7.3195569999999998E-4</v>
      </c>
      <c r="V255">
        <v>7.2180659999999995E-4</v>
      </c>
      <c r="W255">
        <v>7.1467480000000005E-4</v>
      </c>
      <c r="X255">
        <v>7.0752930000000003E-4</v>
      </c>
      <c r="Y255">
        <v>7.0122040000000004E-4</v>
      </c>
      <c r="Z255">
        <v>6.9546009999999999E-4</v>
      </c>
      <c r="AA255">
        <v>6.891512E-4</v>
      </c>
      <c r="AB255">
        <v>6.8229369999999996E-4</v>
      </c>
      <c r="AC255">
        <v>6.7598479999999997E-4</v>
      </c>
      <c r="AD255">
        <v>6.6940160000000001E-4</v>
      </c>
      <c r="AE255">
        <v>6.6199550000000003E-4</v>
      </c>
      <c r="AF255">
        <v>6.5596090000000001E-4</v>
      </c>
      <c r="AG255">
        <v>6.4965200000000002E-4</v>
      </c>
      <c r="AH255">
        <v>6.4389169999999997E-4</v>
      </c>
      <c r="AI255">
        <v>6.3785709999999995E-4</v>
      </c>
      <c r="AJ255">
        <v>6.3290600000000003E-4</v>
      </c>
      <c r="AK255">
        <v>6.2741999999999995E-4</v>
      </c>
      <c r="AL255">
        <v>6.2220829999999996E-4</v>
      </c>
      <c r="AM255">
        <v>6.1754520000000001E-4</v>
      </c>
      <c r="AN255">
        <v>6.1288209999999996E-4</v>
      </c>
      <c r="AO255">
        <v>6.0876759999999995E-4</v>
      </c>
      <c r="AP255">
        <v>6.0492740000000003E-4</v>
      </c>
      <c r="AQ255">
        <v>6.0079920000000002E-4</v>
      </c>
      <c r="AR255">
        <v>5.9641040000000005E-4</v>
      </c>
      <c r="AS255">
        <v>5.9202159999999996E-4</v>
      </c>
    </row>
    <row r="256" spans="1:45" x14ac:dyDescent="0.3">
      <c r="A256" t="s">
        <v>776</v>
      </c>
      <c r="B256" t="s">
        <v>685</v>
      </c>
      <c r="C256" t="s">
        <v>681</v>
      </c>
      <c r="D256" t="s">
        <v>719</v>
      </c>
      <c r="E256" t="s">
        <v>22</v>
      </c>
      <c r="F256">
        <v>-28.575532602388499</v>
      </c>
      <c r="G256">
        <v>999</v>
      </c>
      <c r="H256">
        <v>812.362860747627</v>
      </c>
      <c r="I256">
        <v>11474.4854021266</v>
      </c>
      <c r="J256">
        <v>7.7502080000000002E-4</v>
      </c>
      <c r="K256">
        <v>7.7155978884267304E-4</v>
      </c>
      <c r="L256">
        <v>7.1778861263020505E-4</v>
      </c>
      <c r="M256">
        <v>6.3893728284429704E-4</v>
      </c>
      <c r="N256">
        <v>5.6618648444450598E-4</v>
      </c>
      <c r="O256">
        <v>5.1878164815268404E-4</v>
      </c>
      <c r="P256">
        <v>4.8032247570129599E-4</v>
      </c>
      <c r="Q256">
        <v>4.4452337289907203E-4</v>
      </c>
      <c r="R256">
        <v>4.1000165846705899E-4</v>
      </c>
      <c r="S256">
        <v>3.75902504505822E-4</v>
      </c>
      <c r="T256">
        <v>3.42422758384849E-4</v>
      </c>
      <c r="U256">
        <v>3.1098234250065703E-4</v>
      </c>
      <c r="V256">
        <v>2.80833434918583E-4</v>
      </c>
      <c r="W256">
        <v>2.6570708403008699E-4</v>
      </c>
      <c r="X256">
        <v>2.62175596389E-4</v>
      </c>
      <c r="Y256">
        <v>2.5899424186106603E-4</v>
      </c>
      <c r="Z256">
        <v>2.56050408288913E-4</v>
      </c>
      <c r="AA256">
        <v>2.5294135233524802E-4</v>
      </c>
      <c r="AB256">
        <v>2.49664198759833E-4</v>
      </c>
      <c r="AC256">
        <v>2.4661919953945999E-4</v>
      </c>
      <c r="AD256">
        <v>2.4350364288144901E-4</v>
      </c>
      <c r="AE256">
        <v>2.4011692920161199E-4</v>
      </c>
      <c r="AF256">
        <v>2.3725318649962801E-4</v>
      </c>
      <c r="AG256">
        <v>2.34313163687456E-4</v>
      </c>
      <c r="AH256">
        <v>2.31592883113849E-4</v>
      </c>
      <c r="AI256">
        <v>2.2916929031640301E-4</v>
      </c>
      <c r="AJ256">
        <v>2.27515735910598E-4</v>
      </c>
      <c r="AK256">
        <v>2.2565866155877001E-4</v>
      </c>
      <c r="AL256">
        <v>2.2389395089833299E-4</v>
      </c>
      <c r="AM256">
        <v>2.22318711933604E-4</v>
      </c>
      <c r="AN256">
        <v>2.2073643527221399E-4</v>
      </c>
      <c r="AO256">
        <v>2.19344913248042E-4</v>
      </c>
      <c r="AP256">
        <v>2.18045889594154E-4</v>
      </c>
      <c r="AQ256">
        <v>2.16639865570282E-4</v>
      </c>
      <c r="AR256">
        <v>2.15131278027068E-4</v>
      </c>
      <c r="AS256">
        <v>2.13617092460927E-4</v>
      </c>
    </row>
    <row r="257" spans="1:45" x14ac:dyDescent="0.3">
      <c r="A257" t="s">
        <v>776</v>
      </c>
      <c r="B257" t="s">
        <v>684</v>
      </c>
      <c r="C257" t="s">
        <v>681</v>
      </c>
      <c r="D257" t="s">
        <v>719</v>
      </c>
      <c r="E257" t="s">
        <v>22</v>
      </c>
      <c r="F257">
        <v>-28.575532602388499</v>
      </c>
      <c r="G257">
        <v>999</v>
      </c>
      <c r="H257">
        <v>12736.063028065901</v>
      </c>
      <c r="I257">
        <v>179894.69528630699</v>
      </c>
      <c r="J257">
        <v>9.6877600000000097E-5</v>
      </c>
      <c r="K257">
        <v>8.3318610000000001E-4</v>
      </c>
      <c r="L257">
        <v>7.40961479775105E-4</v>
      </c>
      <c r="M257">
        <v>6.3170139440703397E-4</v>
      </c>
      <c r="N257">
        <v>5.3703933539233696E-4</v>
      </c>
      <c r="O257">
        <v>4.7398471179072699E-4</v>
      </c>
      <c r="P257">
        <v>4.2390105665796599E-4</v>
      </c>
      <c r="Q257">
        <v>3.8020937779068898E-4</v>
      </c>
      <c r="R257">
        <v>3.4103982524866201E-4</v>
      </c>
      <c r="S257">
        <v>3.0513710279641599E-4</v>
      </c>
      <c r="T257">
        <v>2.7213248217945702E-4</v>
      </c>
      <c r="U257">
        <v>2.4268090538239999E-4</v>
      </c>
      <c r="V257">
        <v>2.15827785134948E-4</v>
      </c>
      <c r="W257">
        <v>1.99993268065843E-4</v>
      </c>
      <c r="X257">
        <v>1.7522349890409801E-4</v>
      </c>
      <c r="Y257">
        <v>1.5366745907311E-4</v>
      </c>
      <c r="Z257">
        <v>1.3483179208503799E-4</v>
      </c>
      <c r="AA257">
        <v>1.1819189830451401E-4</v>
      </c>
      <c r="AB257">
        <v>1.0350094581870901E-4</v>
      </c>
      <c r="AC257">
        <v>9.0692942578693704E-5</v>
      </c>
      <c r="AD257">
        <v>7.9430189325726703E-5</v>
      </c>
      <c r="AE257">
        <v>6.9460129491668503E-5</v>
      </c>
      <c r="AF257">
        <v>6.0840584769417703E-5</v>
      </c>
      <c r="AG257">
        <v>5.3230722596723197E-5</v>
      </c>
      <c r="AH257">
        <v>4.6571174467234501E-5</v>
      </c>
      <c r="AI257">
        <v>4.0685179947120499E-5</v>
      </c>
      <c r="AJ257">
        <v>3.5573153117040497E-5</v>
      </c>
      <c r="AK257">
        <v>3.1077048816744898E-5</v>
      </c>
      <c r="AL257">
        <v>2.7140255144085399E-5</v>
      </c>
      <c r="AM257">
        <v>2.3702845408224601E-5</v>
      </c>
      <c r="AN257">
        <v>2.0679154721253601E-5</v>
      </c>
      <c r="AO257">
        <v>1.80379915894445E-5</v>
      </c>
      <c r="AP257">
        <v>1.5723130460815201E-5</v>
      </c>
      <c r="AQ257">
        <v>1.36834186959709E-5</v>
      </c>
      <c r="AR257">
        <v>1.1890240275288601E-5</v>
      </c>
      <c r="AS257">
        <v>1.0320731627026701E-5</v>
      </c>
    </row>
    <row r="258" spans="1:45" x14ac:dyDescent="0.3">
      <c r="A258" t="s">
        <v>776</v>
      </c>
      <c r="B258" t="s">
        <v>682</v>
      </c>
      <c r="C258" t="s">
        <v>681</v>
      </c>
      <c r="D258" t="s">
        <v>719</v>
      </c>
      <c r="E258" t="s">
        <v>22</v>
      </c>
      <c r="F258">
        <v>-28.575532602388499</v>
      </c>
      <c r="G258">
        <v>999</v>
      </c>
      <c r="H258">
        <v>12736.063028065901</v>
      </c>
      <c r="I258">
        <v>179894.69528630699</v>
      </c>
      <c r="J258">
        <v>9.6877600000000097E-5</v>
      </c>
      <c r="K258">
        <v>7.7155978884267304E-4</v>
      </c>
      <c r="L258">
        <v>6.4395664287929797E-4</v>
      </c>
      <c r="M258">
        <v>5.1510247868633496E-4</v>
      </c>
      <c r="N258">
        <v>4.09915396892822E-4</v>
      </c>
      <c r="O258">
        <v>3.3768634846875398E-4</v>
      </c>
      <c r="P258">
        <v>2.8084129074495398E-4</v>
      </c>
      <c r="Q258">
        <v>2.3327247756976699E-4</v>
      </c>
      <c r="R258">
        <v>1.9287668337643801E-4</v>
      </c>
      <c r="S258">
        <v>1.5826129078221101E-4</v>
      </c>
      <c r="T258">
        <v>1.28703790965512E-4</v>
      </c>
      <c r="U258">
        <v>1.0399972852141501E-4</v>
      </c>
      <c r="V258">
        <v>8.3225955502476894E-5</v>
      </c>
      <c r="W258">
        <v>7.2874042804525096E-5</v>
      </c>
      <c r="X258">
        <v>6.3693600251712797E-5</v>
      </c>
      <c r="Y258">
        <v>5.5744479769367897E-5</v>
      </c>
      <c r="Z258">
        <v>4.8827346249959299E-5</v>
      </c>
      <c r="AA258">
        <v>4.2738896401883402E-5</v>
      </c>
      <c r="AB258">
        <v>3.7379408009366299E-5</v>
      </c>
      <c r="AC258">
        <v>3.2717827188562498E-5</v>
      </c>
      <c r="AD258">
        <v>2.862700364321E-5</v>
      </c>
      <c r="AE258">
        <v>2.5012023616832099E-5</v>
      </c>
      <c r="AF258">
        <v>2.1890861244486601E-5</v>
      </c>
      <c r="AG258">
        <v>1.9138748600463101E-5</v>
      </c>
      <c r="AH258">
        <v>1.67328356727711E-5</v>
      </c>
      <c r="AI258">
        <v>1.46172500463633E-5</v>
      </c>
      <c r="AJ258">
        <v>1.2787647467668499E-5</v>
      </c>
      <c r="AK258">
        <v>1.11771027428791E-5</v>
      </c>
      <c r="AL258">
        <v>9.7659894017938098E-6</v>
      </c>
      <c r="AM258">
        <v>8.5330336272062894E-6</v>
      </c>
      <c r="AN258">
        <v>7.4477576178360901E-6</v>
      </c>
      <c r="AO258">
        <v>6.4991992152102799E-6</v>
      </c>
      <c r="AP258">
        <v>5.6673403217382197E-6</v>
      </c>
      <c r="AQ258">
        <v>4.9339995623427701E-6</v>
      </c>
      <c r="AR258">
        <v>4.2888850935956299E-6</v>
      </c>
      <c r="AS258">
        <v>3.72395399490211E-6</v>
      </c>
    </row>
    <row r="259" spans="1:45" x14ac:dyDescent="0.3">
      <c r="A259" t="s">
        <v>775</v>
      </c>
      <c r="B259" t="s">
        <v>686</v>
      </c>
      <c r="C259" t="s">
        <v>681</v>
      </c>
      <c r="D259" t="s">
        <v>719</v>
      </c>
      <c r="E259" t="s">
        <v>679</v>
      </c>
      <c r="F259">
        <v>999</v>
      </c>
      <c r="G259">
        <v>0</v>
      </c>
      <c r="H259">
        <v>999</v>
      </c>
      <c r="I259">
        <v>999</v>
      </c>
      <c r="J259">
        <v>0.10322832182878</v>
      </c>
      <c r="K259">
        <v>9.7129716459860002E-2</v>
      </c>
      <c r="L259">
        <v>8.9016034299158095E-2</v>
      </c>
      <c r="M259">
        <v>0.110047575093845</v>
      </c>
      <c r="N259">
        <v>0.105721746320247</v>
      </c>
      <c r="O259">
        <v>0.102939580523497</v>
      </c>
      <c r="P259">
        <v>0.102423262692664</v>
      </c>
      <c r="Q259">
        <v>0.101755120454092</v>
      </c>
      <c r="R259">
        <v>0.10097346981477</v>
      </c>
      <c r="S259">
        <v>0.100115760820962</v>
      </c>
      <c r="T259">
        <v>9.9163341599072294E-2</v>
      </c>
      <c r="U259">
        <v>9.8395446626769204E-2</v>
      </c>
      <c r="V259">
        <v>9.7914095692375094E-2</v>
      </c>
      <c r="W259">
        <v>9.75341317710713E-2</v>
      </c>
      <c r="X259">
        <v>9.7309444924253405E-2</v>
      </c>
      <c r="Y259">
        <v>9.7032775583269101E-2</v>
      </c>
      <c r="Z259">
        <v>9.6774903934834094E-2</v>
      </c>
      <c r="AA259">
        <v>9.6390533785214005E-2</v>
      </c>
      <c r="AB259">
        <v>9.6043354920814006E-2</v>
      </c>
      <c r="AC259">
        <v>9.5729934244832199E-2</v>
      </c>
      <c r="AD259">
        <v>9.5475089724297593E-2</v>
      </c>
      <c r="AE259">
        <v>9.5210815375778704E-2</v>
      </c>
      <c r="AF259">
        <v>9.4934150764575703E-2</v>
      </c>
      <c r="AG259">
        <v>9.4714177916070397E-2</v>
      </c>
      <c r="AH259">
        <v>9.4543617911333006E-2</v>
      </c>
      <c r="AI259">
        <v>9.4373875910160804E-2</v>
      </c>
      <c r="AJ259">
        <v>9.41825411355003E-2</v>
      </c>
      <c r="AK259">
        <v>9.4026752146292303E-2</v>
      </c>
      <c r="AL259">
        <v>9.3856490437855905E-2</v>
      </c>
      <c r="AM259">
        <v>9.3686994865252199E-2</v>
      </c>
      <c r="AN259">
        <v>9.3515184897292103E-2</v>
      </c>
      <c r="AO259">
        <v>9.3368603632506195E-2</v>
      </c>
      <c r="AP259">
        <v>9.3213089847514696E-2</v>
      </c>
      <c r="AQ259">
        <v>9.3046237880935703E-2</v>
      </c>
      <c r="AR259">
        <v>9.2865634996356194E-2</v>
      </c>
      <c r="AS259">
        <v>9.2717544791745599E-2</v>
      </c>
    </row>
    <row r="260" spans="1:45" x14ac:dyDescent="0.3">
      <c r="A260" t="s">
        <v>775</v>
      </c>
      <c r="B260" t="s">
        <v>685</v>
      </c>
      <c r="C260" t="s">
        <v>681</v>
      </c>
      <c r="D260" t="s">
        <v>719</v>
      </c>
      <c r="E260" t="s">
        <v>679</v>
      </c>
      <c r="F260">
        <v>999</v>
      </c>
      <c r="G260">
        <v>0</v>
      </c>
      <c r="H260">
        <v>999</v>
      </c>
      <c r="I260">
        <v>999</v>
      </c>
      <c r="J260">
        <v>0.10322832182878</v>
      </c>
      <c r="K260">
        <v>9.7129716459860002E-2</v>
      </c>
      <c r="L260">
        <v>8.9016034299158095E-2</v>
      </c>
      <c r="M260">
        <v>0.109633324429864</v>
      </c>
      <c r="N260">
        <v>0.10496208642232099</v>
      </c>
      <c r="O260">
        <v>0.101915479930112</v>
      </c>
      <c r="P260">
        <v>0.101206282236733</v>
      </c>
      <c r="Q260">
        <v>0.100443225262381</v>
      </c>
      <c r="R260">
        <v>9.9677165757524097E-2</v>
      </c>
      <c r="S260">
        <v>9.8952922522514003E-2</v>
      </c>
      <c r="T260">
        <v>9.8256219218139595E-2</v>
      </c>
      <c r="U260">
        <v>9.7901726876704898E-2</v>
      </c>
      <c r="V260">
        <v>9.8003121237617397E-2</v>
      </c>
      <c r="W260">
        <v>9.8371910387682199E-2</v>
      </c>
      <c r="X260">
        <v>9.9083167899732594E-2</v>
      </c>
      <c r="Y260">
        <v>9.9933086847621699E-2</v>
      </c>
      <c r="Z260">
        <v>0.100978231573688</v>
      </c>
      <c r="AA260">
        <v>0.102081755285541</v>
      </c>
      <c r="AB260">
        <v>0.103410375052865</v>
      </c>
      <c r="AC260">
        <v>0.104941421689823</v>
      </c>
      <c r="AD260">
        <v>0.106716140658578</v>
      </c>
      <c r="AE260">
        <v>0.108656802754227</v>
      </c>
      <c r="AF260">
        <v>0.110731619150053</v>
      </c>
      <c r="AG260">
        <v>0.11303641986132699</v>
      </c>
      <c r="AH260">
        <v>0.11555790251344999</v>
      </c>
      <c r="AI260">
        <v>0.118209886582458</v>
      </c>
      <c r="AJ260">
        <v>0.12097778075199001</v>
      </c>
      <c r="AK260">
        <v>0.123407064355994</v>
      </c>
      <c r="AL260">
        <v>0.12582301174277399</v>
      </c>
      <c r="AM260">
        <v>0.12830551975054799</v>
      </c>
      <c r="AN260">
        <v>0.13085698715289301</v>
      </c>
      <c r="AO260">
        <v>0.13357047220975399</v>
      </c>
      <c r="AP260">
        <v>0.13634206634443499</v>
      </c>
      <c r="AQ260">
        <v>0.13916256108223801</v>
      </c>
      <c r="AR260">
        <v>0.142003698714325</v>
      </c>
      <c r="AS260">
        <v>0.144954651777713</v>
      </c>
    </row>
    <row r="261" spans="1:45" x14ac:dyDescent="0.3">
      <c r="A261" t="s">
        <v>775</v>
      </c>
      <c r="B261" t="s">
        <v>684</v>
      </c>
      <c r="C261" t="s">
        <v>681</v>
      </c>
      <c r="D261" t="s">
        <v>719</v>
      </c>
      <c r="E261" t="s">
        <v>679</v>
      </c>
      <c r="F261">
        <v>999</v>
      </c>
      <c r="G261">
        <v>0</v>
      </c>
      <c r="H261">
        <v>999</v>
      </c>
      <c r="I261">
        <v>999</v>
      </c>
      <c r="J261">
        <v>-1.30967237055302E-19</v>
      </c>
      <c r="K261">
        <v>-5.1833922043442701E-17</v>
      </c>
      <c r="L261">
        <v>1.1641532182693499E-17</v>
      </c>
      <c r="M261">
        <v>5.7696285981323802E-3</v>
      </c>
      <c r="N261">
        <v>1.0763837649448301E-2</v>
      </c>
      <c r="O261">
        <v>1.5050913553046E-2</v>
      </c>
      <c r="P261">
        <v>1.90673317441356E-2</v>
      </c>
      <c r="Q261">
        <v>2.2645633148189698E-2</v>
      </c>
      <c r="R261">
        <v>2.5838105325970501E-2</v>
      </c>
      <c r="S261">
        <v>2.8652195616278901E-2</v>
      </c>
      <c r="T261">
        <v>3.11248277368265E-2</v>
      </c>
      <c r="U261">
        <v>3.3397242143358402E-2</v>
      </c>
      <c r="V261">
        <v>3.5545334205789002E-2</v>
      </c>
      <c r="W261">
        <v>3.7526657236447103E-2</v>
      </c>
      <c r="X261">
        <v>3.9385139758048998E-2</v>
      </c>
      <c r="Y261">
        <v>4.0759961488218803E-2</v>
      </c>
      <c r="Z261">
        <v>4.1945600018645501E-2</v>
      </c>
      <c r="AA261">
        <v>4.2830826415774299E-2</v>
      </c>
      <c r="AB261">
        <v>4.35737771331597E-2</v>
      </c>
      <c r="AC261">
        <v>4.4079732231671602E-2</v>
      </c>
      <c r="AD261">
        <v>4.4353107684468603E-2</v>
      </c>
      <c r="AE261">
        <v>4.4390832951933197E-2</v>
      </c>
      <c r="AF261">
        <v>4.3888833729574202E-2</v>
      </c>
      <c r="AG261">
        <v>4.2992055936195199E-2</v>
      </c>
      <c r="AH261">
        <v>4.1069121947022599E-2</v>
      </c>
      <c r="AI261">
        <v>3.8473625059101103E-2</v>
      </c>
      <c r="AJ261">
        <v>3.4956316725132698E-2</v>
      </c>
      <c r="AK261">
        <v>2.9188477744394901E-2</v>
      </c>
      <c r="AL261">
        <v>2.7780455638795401E-2</v>
      </c>
      <c r="AM261">
        <v>3.06946404198154E-2</v>
      </c>
      <c r="AN261">
        <v>3.4846010993626698E-2</v>
      </c>
      <c r="AO261">
        <v>3.8559291188433403E-2</v>
      </c>
      <c r="AP261">
        <v>4.2002883600486499E-2</v>
      </c>
      <c r="AQ261">
        <v>4.4751829378972201E-2</v>
      </c>
      <c r="AR261">
        <v>4.7256785090282902E-2</v>
      </c>
      <c r="AS261">
        <v>4.9659583491997603E-2</v>
      </c>
    </row>
    <row r="262" spans="1:45" x14ac:dyDescent="0.3">
      <c r="A262" t="s">
        <v>775</v>
      </c>
      <c r="B262" t="s">
        <v>682</v>
      </c>
      <c r="C262" t="s">
        <v>681</v>
      </c>
      <c r="D262" t="s">
        <v>719</v>
      </c>
      <c r="E262" t="s">
        <v>679</v>
      </c>
      <c r="F262">
        <v>999</v>
      </c>
      <c r="G262">
        <v>0</v>
      </c>
      <c r="H262">
        <v>999</v>
      </c>
      <c r="I262">
        <v>999</v>
      </c>
      <c r="J262">
        <v>-1.30967237055302E-19</v>
      </c>
      <c r="K262">
        <v>-5.1833922043442701E-17</v>
      </c>
      <c r="L262">
        <v>1.1641532182693499E-17</v>
      </c>
      <c r="M262">
        <v>5.4459544298709897E-3</v>
      </c>
      <c r="N262">
        <v>1.00687719219394E-2</v>
      </c>
      <c r="O262">
        <v>1.39686658754971E-2</v>
      </c>
      <c r="P262">
        <v>1.7562003979017402E-2</v>
      </c>
      <c r="Q262">
        <v>2.07336399379092E-2</v>
      </c>
      <c r="R262">
        <v>2.3560164936200199E-2</v>
      </c>
      <c r="S262">
        <v>2.6076253758946299E-2</v>
      </c>
      <c r="T262">
        <v>2.8312689543021199E-2</v>
      </c>
      <c r="U262">
        <v>3.0429165782576002E-2</v>
      </c>
      <c r="V262">
        <v>3.2511123420246098E-2</v>
      </c>
      <c r="W262">
        <v>3.4525787291673798E-2</v>
      </c>
      <c r="X262">
        <v>3.6534596840065797E-2</v>
      </c>
      <c r="Y262">
        <v>3.8082400084502997E-2</v>
      </c>
      <c r="Z262">
        <v>3.9545499682056298E-2</v>
      </c>
      <c r="AA262">
        <v>4.08115355579396E-2</v>
      </c>
      <c r="AB262">
        <v>4.2037549177674903E-2</v>
      </c>
      <c r="AC262">
        <v>4.3122293660236698E-2</v>
      </c>
      <c r="AD262">
        <v>4.4061290157005897E-2</v>
      </c>
      <c r="AE262">
        <v>4.4900457318865203E-2</v>
      </c>
      <c r="AF262">
        <v>4.5173440562200899E-2</v>
      </c>
      <c r="AG262">
        <v>4.5103821103138098E-2</v>
      </c>
      <c r="AH262">
        <v>4.40151874189268E-2</v>
      </c>
      <c r="AI262">
        <v>4.2137977473220997E-2</v>
      </c>
      <c r="AJ262">
        <v>3.9137767833021503E-2</v>
      </c>
      <c r="AK262">
        <v>3.3205104915636899E-2</v>
      </c>
      <c r="AL262">
        <v>3.2258260965015897E-2</v>
      </c>
      <c r="AM262">
        <v>3.6531501892856998E-2</v>
      </c>
      <c r="AN262">
        <v>4.2491321630489201E-2</v>
      </c>
      <c r="AO262">
        <v>4.8157977031216E-2</v>
      </c>
      <c r="AP262">
        <v>5.3703087367930599E-2</v>
      </c>
      <c r="AQ262">
        <v>5.8596719355370502E-2</v>
      </c>
      <c r="AR262">
        <v>6.3354113977496102E-2</v>
      </c>
      <c r="AS262">
        <v>6.8179876190179498E-2</v>
      </c>
    </row>
    <row r="263" spans="1:45" x14ac:dyDescent="0.3">
      <c r="A263" t="s">
        <v>774</v>
      </c>
      <c r="B263" t="s">
        <v>686</v>
      </c>
      <c r="C263" t="s">
        <v>681</v>
      </c>
      <c r="D263" t="s">
        <v>719</v>
      </c>
      <c r="E263" t="s">
        <v>679</v>
      </c>
      <c r="F263">
        <v>999</v>
      </c>
      <c r="G263">
        <v>0</v>
      </c>
      <c r="H263">
        <v>0</v>
      </c>
      <c r="I263">
        <v>0</v>
      </c>
      <c r="J263">
        <v>0.14862964265690001</v>
      </c>
      <c r="K263">
        <v>0.13710132646236001</v>
      </c>
      <c r="L263">
        <v>0.12559792445704801</v>
      </c>
      <c r="M263">
        <v>0.16009420272279101</v>
      </c>
      <c r="N263">
        <v>0.15552766527022299</v>
      </c>
      <c r="O263">
        <v>0.14933902012435599</v>
      </c>
      <c r="P263">
        <v>0.14860335348895501</v>
      </c>
      <c r="Q263">
        <v>0.147672765247611</v>
      </c>
      <c r="R263">
        <v>0.146610968755574</v>
      </c>
      <c r="S263">
        <v>0.14537769541395801</v>
      </c>
      <c r="T263">
        <v>0.14407341573891</v>
      </c>
      <c r="U263">
        <v>0.14302293716476799</v>
      </c>
      <c r="V263">
        <v>0.14237805295307401</v>
      </c>
      <c r="W263">
        <v>0.14184372877211801</v>
      </c>
      <c r="X263">
        <v>0.14148082372419199</v>
      </c>
      <c r="Y263">
        <v>0.14105649412812399</v>
      </c>
      <c r="Z263">
        <v>0.14066941409286099</v>
      </c>
      <c r="AA263">
        <v>0.14014591542089899</v>
      </c>
      <c r="AB263">
        <v>0.139602989355571</v>
      </c>
      <c r="AC263">
        <v>0.13911870089172701</v>
      </c>
      <c r="AD263">
        <v>0.138695212567539</v>
      </c>
      <c r="AE263">
        <v>0.13824273553194499</v>
      </c>
      <c r="AF263">
        <v>0.13779047153160501</v>
      </c>
      <c r="AG263">
        <v>0.13741839395099201</v>
      </c>
      <c r="AH263">
        <v>0.13710034995422299</v>
      </c>
      <c r="AI263">
        <v>0.136764069554378</v>
      </c>
      <c r="AJ263">
        <v>0.136404976551286</v>
      </c>
      <c r="AK263">
        <v>0.13608666670111499</v>
      </c>
      <c r="AL263">
        <v>0.13573321138295</v>
      </c>
      <c r="AM263">
        <v>0.135377485301057</v>
      </c>
      <c r="AN263">
        <v>0.13501169881644801</v>
      </c>
      <c r="AO263">
        <v>0.13466794196814</v>
      </c>
      <c r="AP263">
        <v>0.13429670635323099</v>
      </c>
      <c r="AQ263">
        <v>0.133920986171742</v>
      </c>
      <c r="AR263">
        <v>0.13349867558104</v>
      </c>
      <c r="AS263">
        <v>0.133114190682317</v>
      </c>
    </row>
    <row r="264" spans="1:45" x14ac:dyDescent="0.3">
      <c r="A264" t="s">
        <v>774</v>
      </c>
      <c r="B264" t="s">
        <v>685</v>
      </c>
      <c r="C264" t="s">
        <v>681</v>
      </c>
      <c r="D264" t="s">
        <v>719</v>
      </c>
      <c r="E264" t="s">
        <v>679</v>
      </c>
      <c r="F264">
        <v>999</v>
      </c>
      <c r="G264">
        <v>0</v>
      </c>
      <c r="H264">
        <v>0</v>
      </c>
      <c r="I264">
        <v>0</v>
      </c>
      <c r="J264">
        <v>0.14862964265690001</v>
      </c>
      <c r="K264">
        <v>0.13710132646236001</v>
      </c>
      <c r="L264">
        <v>0.12559792445704801</v>
      </c>
      <c r="M264">
        <v>0.156432341843142</v>
      </c>
      <c r="N264">
        <v>0.14856076988533501</v>
      </c>
      <c r="O264">
        <v>0.13959103842121701</v>
      </c>
      <c r="P264">
        <v>0.136012025301605</v>
      </c>
      <c r="Q264">
        <v>0.13243561805456999</v>
      </c>
      <c r="R264">
        <v>0.12891728389656701</v>
      </c>
      <c r="S264">
        <v>0.12541842797688099</v>
      </c>
      <c r="T264">
        <v>0.122019218463764</v>
      </c>
      <c r="U264">
        <v>0.118991069580905</v>
      </c>
      <c r="V264">
        <v>0.11644707213458801</v>
      </c>
      <c r="W264">
        <v>0.114132119960242</v>
      </c>
      <c r="X264">
        <v>0.112094807614274</v>
      </c>
      <c r="Y264">
        <v>0.110148318653832</v>
      </c>
      <c r="Z264">
        <v>0.108367273798673</v>
      </c>
      <c r="AA264">
        <v>0.10662298348167</v>
      </c>
      <c r="AB264">
        <v>0.105006413180578</v>
      </c>
      <c r="AC264">
        <v>0.103572248016889</v>
      </c>
      <c r="AD264">
        <v>0.10232280956324</v>
      </c>
      <c r="AE264">
        <v>0.10118985009591901</v>
      </c>
      <c r="AF264">
        <v>0.10018925851803299</v>
      </c>
      <c r="AG264">
        <v>9.9381180239408395E-2</v>
      </c>
      <c r="AH264">
        <v>9.8745121660386695E-2</v>
      </c>
      <c r="AI264">
        <v>9.8223786590420595E-2</v>
      </c>
      <c r="AJ264">
        <v>9.7817840061602504E-2</v>
      </c>
      <c r="AK264">
        <v>9.7572339962509802E-2</v>
      </c>
      <c r="AL264">
        <v>9.7427036609635101E-2</v>
      </c>
      <c r="AM264">
        <v>9.74094475788716E-2</v>
      </c>
      <c r="AN264">
        <v>9.7513569059927793E-2</v>
      </c>
      <c r="AO264">
        <v>9.7756096875358398E-2</v>
      </c>
      <c r="AP264">
        <v>9.8105670703092202E-2</v>
      </c>
      <c r="AQ264">
        <v>9.8577460601608005E-2</v>
      </c>
      <c r="AR264">
        <v>9.9132778772505398E-2</v>
      </c>
      <c r="AS264">
        <v>9.9837624191081803E-2</v>
      </c>
    </row>
    <row r="265" spans="1:45" x14ac:dyDescent="0.3">
      <c r="A265" t="s">
        <v>774</v>
      </c>
      <c r="B265" t="s">
        <v>684</v>
      </c>
      <c r="C265" t="s">
        <v>681</v>
      </c>
      <c r="D265" t="s">
        <v>719</v>
      </c>
      <c r="E265" t="s">
        <v>679</v>
      </c>
      <c r="F265">
        <v>999</v>
      </c>
      <c r="G265">
        <v>0</v>
      </c>
      <c r="H265">
        <v>0</v>
      </c>
      <c r="I265">
        <v>0</v>
      </c>
      <c r="J265">
        <v>2.7939677238464402E-18</v>
      </c>
      <c r="K265">
        <v>5.1746610552072499E-17</v>
      </c>
      <c r="L265">
        <v>-4.2375177145004301E-17</v>
      </c>
      <c r="M265">
        <v>5.7869042493582596E-3</v>
      </c>
      <c r="N265">
        <v>1.11359152095592E-2</v>
      </c>
      <c r="O265">
        <v>1.5482377775708E-2</v>
      </c>
      <c r="P265">
        <v>1.9808149891835301E-2</v>
      </c>
      <c r="Q265">
        <v>2.3747712840174399E-2</v>
      </c>
      <c r="R265">
        <v>2.73497570695415E-2</v>
      </c>
      <c r="S265">
        <v>3.0584377546188701E-2</v>
      </c>
      <c r="T265">
        <v>3.3530750122402898E-2</v>
      </c>
      <c r="U265">
        <v>3.63129750043409E-2</v>
      </c>
      <c r="V265">
        <v>3.9003205040776603E-2</v>
      </c>
      <c r="W265">
        <v>4.1536993752356102E-2</v>
      </c>
      <c r="X265">
        <v>4.3943899801253898E-2</v>
      </c>
      <c r="Y265">
        <v>4.5818263264417299E-2</v>
      </c>
      <c r="Z265">
        <v>4.7496687926442599E-2</v>
      </c>
      <c r="AA265">
        <v>4.8855584996604098E-2</v>
      </c>
      <c r="AB265">
        <v>4.9986976840168902E-2</v>
      </c>
      <c r="AC265">
        <v>5.0848521577477102E-2</v>
      </c>
      <c r="AD265">
        <v>5.1413268854059203E-2</v>
      </c>
      <c r="AE265">
        <v>5.1648326986816401E-2</v>
      </c>
      <c r="AF265">
        <v>5.1214658961533203E-2</v>
      </c>
      <c r="AG265">
        <v>5.0179076260350397E-2</v>
      </c>
      <c r="AH265">
        <v>4.8281583334569701E-2</v>
      </c>
      <c r="AI265">
        <v>4.5372777012701197E-2</v>
      </c>
      <c r="AJ265">
        <v>4.1033846216705999E-2</v>
      </c>
      <c r="AK265">
        <v>3.3414735027328599E-2</v>
      </c>
      <c r="AL265">
        <v>3.0777595767875199E-2</v>
      </c>
      <c r="AM265">
        <v>3.4165548319445398E-2</v>
      </c>
      <c r="AN265">
        <v>4.01549381221767E-2</v>
      </c>
      <c r="AO265">
        <v>4.4934401946205002E-2</v>
      </c>
      <c r="AP265">
        <v>4.9214960057375599E-2</v>
      </c>
      <c r="AQ265">
        <v>5.2592342090718697E-2</v>
      </c>
      <c r="AR265">
        <v>5.5457209464779902E-2</v>
      </c>
      <c r="AS265">
        <v>6.0636550491831302E-2</v>
      </c>
    </row>
    <row r="266" spans="1:45" x14ac:dyDescent="0.3">
      <c r="A266" t="s">
        <v>774</v>
      </c>
      <c r="B266" t="s">
        <v>682</v>
      </c>
      <c r="C266" t="s">
        <v>681</v>
      </c>
      <c r="D266" t="s">
        <v>719</v>
      </c>
      <c r="E266" t="s">
        <v>679</v>
      </c>
      <c r="F266">
        <v>999</v>
      </c>
      <c r="G266">
        <v>0</v>
      </c>
      <c r="H266">
        <v>0</v>
      </c>
      <c r="I266">
        <v>0</v>
      </c>
      <c r="J266">
        <v>2.7939677238464402E-18</v>
      </c>
      <c r="K266">
        <v>5.1746610552072499E-17</v>
      </c>
      <c r="L266">
        <v>-4.2375177145004301E-17</v>
      </c>
      <c r="M266">
        <v>5.0746001742649699E-3</v>
      </c>
      <c r="N266">
        <v>9.2951542506293401E-3</v>
      </c>
      <c r="O266">
        <v>1.2445874908867E-2</v>
      </c>
      <c r="P266">
        <v>1.5426956250842601E-2</v>
      </c>
      <c r="Q266">
        <v>1.8010985384162299E-2</v>
      </c>
      <c r="R266">
        <v>2.02804009223405E-2</v>
      </c>
      <c r="S266">
        <v>2.22482121090599E-2</v>
      </c>
      <c r="T266">
        <v>2.39740804464506E-2</v>
      </c>
      <c r="U266">
        <v>2.5569717169980102E-2</v>
      </c>
      <c r="V266">
        <v>2.70993157627679E-2</v>
      </c>
      <c r="W266">
        <v>2.8525502724274801E-2</v>
      </c>
      <c r="X266">
        <v>2.9885306931772999E-2</v>
      </c>
      <c r="Y266">
        <v>3.08160856833837E-2</v>
      </c>
      <c r="Z266">
        <v>3.1644805324994897E-2</v>
      </c>
      <c r="AA266">
        <v>3.2285220045821197E-2</v>
      </c>
      <c r="AB266">
        <v>3.2813859996583997E-2</v>
      </c>
      <c r="AC266">
        <v>3.3202955732385797E-2</v>
      </c>
      <c r="AD266">
        <v>3.3442062323437403E-2</v>
      </c>
      <c r="AE266">
        <v>3.35421339514426E-2</v>
      </c>
      <c r="AF266">
        <v>3.3188199017932102E-2</v>
      </c>
      <c r="AG266">
        <v>3.2474321689354303E-2</v>
      </c>
      <c r="AH266">
        <v>3.1226857539195099E-2</v>
      </c>
      <c r="AI266">
        <v>2.92877488982725E-2</v>
      </c>
      <c r="AJ266">
        <v>2.6349573540959501E-2</v>
      </c>
      <c r="AK266">
        <v>2.1080489440744699E-2</v>
      </c>
      <c r="AL266">
        <v>1.9282709683410001E-2</v>
      </c>
      <c r="AM266">
        <v>2.17284091780224E-2</v>
      </c>
      <c r="AN266">
        <v>2.6124100768983801E-2</v>
      </c>
      <c r="AO266">
        <v>2.97660989798006E-2</v>
      </c>
      <c r="AP266">
        <v>3.3122252780653103E-2</v>
      </c>
      <c r="AQ266">
        <v>3.5896794563750903E-2</v>
      </c>
      <c r="AR266">
        <v>3.8292286120203502E-2</v>
      </c>
      <c r="AS266">
        <v>4.2751038262211598E-2</v>
      </c>
    </row>
    <row r="267" spans="1:45" hidden="1" x14ac:dyDescent="0.3">
      <c r="A267" t="s">
        <v>773</v>
      </c>
      <c r="B267" t="s">
        <v>686</v>
      </c>
      <c r="C267" t="s">
        <v>681</v>
      </c>
      <c r="D267" t="s">
        <v>680</v>
      </c>
      <c r="E267" t="s">
        <v>696</v>
      </c>
      <c r="F267">
        <v>1.21941276532138</v>
      </c>
      <c r="G267">
        <v>0</v>
      </c>
      <c r="H267">
        <v>999</v>
      </c>
      <c r="I267">
        <v>999</v>
      </c>
      <c r="J267">
        <v>0.2591995925028</v>
      </c>
      <c r="K267">
        <v>0.2564775487857</v>
      </c>
      <c r="L267">
        <v>0.227550788317821</v>
      </c>
      <c r="M267">
        <v>0.28618690499209198</v>
      </c>
      <c r="N267">
        <v>0.26425748396395998</v>
      </c>
      <c r="O267">
        <v>0.26822605117312498</v>
      </c>
      <c r="P267">
        <v>0.268228601100372</v>
      </c>
      <c r="Q267">
        <v>0.26807756478751399</v>
      </c>
      <c r="R267">
        <v>0.26681598354482799</v>
      </c>
      <c r="S267">
        <v>0.26598769662364202</v>
      </c>
      <c r="T267">
        <v>0.26385512094740299</v>
      </c>
      <c r="U267">
        <v>0.26171663429383801</v>
      </c>
      <c r="V267">
        <v>0.26006229954142401</v>
      </c>
      <c r="W267">
        <v>0.25869397167221497</v>
      </c>
      <c r="X267">
        <v>0.25809565024216902</v>
      </c>
      <c r="Y267">
        <v>0.25718926344474302</v>
      </c>
      <c r="Z267">
        <v>0.25599960115094</v>
      </c>
      <c r="AA267">
        <v>0.25377393647084701</v>
      </c>
      <c r="AB267">
        <v>0.252334372185745</v>
      </c>
      <c r="AC267">
        <v>0.250911629520018</v>
      </c>
      <c r="AD267">
        <v>0.250028343824099</v>
      </c>
      <c r="AE267">
        <v>0.24942557470335999</v>
      </c>
      <c r="AF267">
        <v>0.248642213816405</v>
      </c>
      <c r="AG267">
        <v>0.247956425077271</v>
      </c>
      <c r="AH267">
        <v>0.247394837982639</v>
      </c>
      <c r="AI267">
        <v>0.24683251863752201</v>
      </c>
      <c r="AJ267">
        <v>0.24609948313464999</v>
      </c>
      <c r="AK267">
        <v>0.24545652347647801</v>
      </c>
      <c r="AL267">
        <v>0.244915725922392</v>
      </c>
      <c r="AM267">
        <v>0.244403210920668</v>
      </c>
      <c r="AN267">
        <v>0.24383154698641399</v>
      </c>
      <c r="AO267">
        <v>0.2433480122452</v>
      </c>
      <c r="AP267">
        <v>0.24290095043179599</v>
      </c>
      <c r="AQ267">
        <v>0.24233221723715601</v>
      </c>
      <c r="AR267">
        <v>0.24198626226234901</v>
      </c>
      <c r="AS267">
        <v>0.24176443359526001</v>
      </c>
    </row>
    <row r="268" spans="1:45" hidden="1" x14ac:dyDescent="0.3">
      <c r="A268" t="s">
        <v>773</v>
      </c>
      <c r="B268" t="s">
        <v>685</v>
      </c>
      <c r="C268" t="s">
        <v>681</v>
      </c>
      <c r="D268" t="s">
        <v>680</v>
      </c>
      <c r="E268" t="s">
        <v>696</v>
      </c>
      <c r="F268">
        <v>1.21941276532138</v>
      </c>
      <c r="G268">
        <v>0</v>
      </c>
      <c r="H268">
        <v>999</v>
      </c>
      <c r="I268">
        <v>999</v>
      </c>
      <c r="J268">
        <v>0.25951086686685598</v>
      </c>
      <c r="K268">
        <v>0.25712954685935502</v>
      </c>
      <c r="L268">
        <v>0.22843274966847399</v>
      </c>
      <c r="M268">
        <v>0.28761856473931502</v>
      </c>
      <c r="N268">
        <v>0.26588153367398598</v>
      </c>
      <c r="O268">
        <v>0.27023436587017602</v>
      </c>
      <c r="P268">
        <v>0.27055363432295498</v>
      </c>
      <c r="Q268">
        <v>0.27070828470923203</v>
      </c>
      <c r="R268">
        <v>0.27012038550730999</v>
      </c>
      <c r="S268">
        <v>0.27000107498605402</v>
      </c>
      <c r="T268">
        <v>0.26857662248875402</v>
      </c>
      <c r="U268">
        <v>0.26715334490946402</v>
      </c>
      <c r="V268">
        <v>0.26622576800353998</v>
      </c>
      <c r="W268">
        <v>0.26558986218499298</v>
      </c>
      <c r="X268">
        <v>0.26550706402666702</v>
      </c>
      <c r="Y268">
        <v>0.264915739964041</v>
      </c>
      <c r="Z268">
        <v>0.26400657224144197</v>
      </c>
      <c r="AA268">
        <v>0.26200304983709799</v>
      </c>
      <c r="AB268">
        <v>0.26078725315717199</v>
      </c>
      <c r="AC268">
        <v>0.25956792905970399</v>
      </c>
      <c r="AD268">
        <v>0.25888778387660399</v>
      </c>
      <c r="AE268">
        <v>0.25848102070474099</v>
      </c>
      <c r="AF268">
        <v>0.25787200679580802</v>
      </c>
      <c r="AG268">
        <v>0.25734965776378099</v>
      </c>
      <c r="AH268">
        <v>0.256942772652205</v>
      </c>
      <c r="AI268">
        <v>0.25652347733631398</v>
      </c>
      <c r="AJ268">
        <v>0.25591535657737002</v>
      </c>
      <c r="AK268">
        <v>0.25538989093305098</v>
      </c>
      <c r="AL268">
        <v>0.25496089766658803</v>
      </c>
      <c r="AM268">
        <v>0.25455211241449199</v>
      </c>
      <c r="AN268">
        <v>0.25407330111311799</v>
      </c>
      <c r="AO268">
        <v>0.25367924954779603</v>
      </c>
      <c r="AP268">
        <v>0.25331595978273502</v>
      </c>
      <c r="AQ268">
        <v>0.25281868221492199</v>
      </c>
      <c r="AR268">
        <v>0.25254810116397602</v>
      </c>
      <c r="AS268">
        <v>0.252401576379498</v>
      </c>
    </row>
    <row r="269" spans="1:45" hidden="1" x14ac:dyDescent="0.3">
      <c r="A269" t="s">
        <v>773</v>
      </c>
      <c r="B269" t="s">
        <v>684</v>
      </c>
      <c r="C269" t="s">
        <v>681</v>
      </c>
      <c r="D269" t="s">
        <v>680</v>
      </c>
      <c r="E269" t="s">
        <v>696</v>
      </c>
      <c r="F269">
        <v>1.21941276532138</v>
      </c>
      <c r="G269">
        <v>0</v>
      </c>
      <c r="H269">
        <v>-176.39128490153999</v>
      </c>
      <c r="I269">
        <v>-4339.0357714239399</v>
      </c>
      <c r="J269">
        <v>0.11921196299117</v>
      </c>
      <c r="K269">
        <v>0.125376919359596</v>
      </c>
      <c r="L269">
        <v>5.0506002130789901E-2</v>
      </c>
      <c r="M269">
        <v>3.9915778184730397E-2</v>
      </c>
      <c r="N269">
        <v>2.97373331664335E-2</v>
      </c>
      <c r="O269">
        <v>4.3018331596078999E-2</v>
      </c>
      <c r="P269">
        <v>4.9776261042890797E-2</v>
      </c>
      <c r="Q269">
        <v>5.2672361336293001E-2</v>
      </c>
      <c r="R269">
        <v>5.23851838368408E-2</v>
      </c>
      <c r="S269">
        <v>5.14404131131313E-2</v>
      </c>
      <c r="T269">
        <v>4.8482093235955398E-2</v>
      </c>
      <c r="U269">
        <v>4.598410489818E-2</v>
      </c>
      <c r="V269">
        <v>4.3841874060471603E-2</v>
      </c>
      <c r="W269">
        <v>4.19693651073864E-2</v>
      </c>
      <c r="X269">
        <v>4.19106220232364E-2</v>
      </c>
      <c r="Y269">
        <v>3.87031090979107E-2</v>
      </c>
      <c r="Z269">
        <v>3.6708896362969701E-2</v>
      </c>
      <c r="AA269">
        <v>3.4862692054879303E-2</v>
      </c>
      <c r="AB269">
        <v>3.3248122430148297E-2</v>
      </c>
      <c r="AC269">
        <v>3.1716006592895502E-2</v>
      </c>
      <c r="AD269">
        <v>3.03953208311924E-2</v>
      </c>
      <c r="AE269">
        <v>2.9117315983439501E-2</v>
      </c>
      <c r="AF269">
        <v>2.7629235852771598E-2</v>
      </c>
      <c r="AG269">
        <v>2.6475018901801501E-2</v>
      </c>
      <c r="AH269">
        <v>2.5072648019375001E-2</v>
      </c>
      <c r="AI269">
        <v>2.3229759934885599E-2</v>
      </c>
      <c r="AJ269">
        <v>2.1371001981366801E-2</v>
      </c>
      <c r="AK269">
        <v>1.9563317942656502E-2</v>
      </c>
      <c r="AL269">
        <v>1.783452980667E-2</v>
      </c>
      <c r="AM269">
        <v>1.6170278455836899E-2</v>
      </c>
      <c r="AN269">
        <v>1.4525825905741301E-2</v>
      </c>
      <c r="AO269">
        <v>1.29657736649301E-2</v>
      </c>
      <c r="AP269">
        <v>1.15593406443644E-2</v>
      </c>
      <c r="AQ269">
        <v>1.0294304009623501E-2</v>
      </c>
      <c r="AR269">
        <v>9.1677881334488402E-3</v>
      </c>
      <c r="AS269">
        <v>8.1649564920076006E-3</v>
      </c>
    </row>
    <row r="270" spans="1:45" hidden="1" x14ac:dyDescent="0.3">
      <c r="A270" t="s">
        <v>773</v>
      </c>
      <c r="B270" t="s">
        <v>682</v>
      </c>
      <c r="C270" t="s">
        <v>681</v>
      </c>
      <c r="D270" t="s">
        <v>680</v>
      </c>
      <c r="E270" t="s">
        <v>696</v>
      </c>
      <c r="F270">
        <v>1.21941276532138</v>
      </c>
      <c r="G270">
        <v>0</v>
      </c>
      <c r="H270">
        <v>-176.39128490153999</v>
      </c>
      <c r="I270">
        <v>-4339.0357714239399</v>
      </c>
      <c r="J270">
        <v>0.119291121180596</v>
      </c>
      <c r="K270">
        <v>0.12554443185526101</v>
      </c>
      <c r="L270">
        <v>5.0273467620490099E-2</v>
      </c>
      <c r="M270">
        <v>3.9368149932196297E-2</v>
      </c>
      <c r="N270">
        <v>2.9011016360268E-2</v>
      </c>
      <c r="O270">
        <v>4.1773467768176697E-2</v>
      </c>
      <c r="P270">
        <v>4.7922427829460497E-2</v>
      </c>
      <c r="Q270">
        <v>5.0324478723291897E-2</v>
      </c>
      <c r="R270">
        <v>4.9781278430131103E-2</v>
      </c>
      <c r="S270">
        <v>4.8645338554281201E-2</v>
      </c>
      <c r="T270">
        <v>4.5652514911841899E-2</v>
      </c>
      <c r="U270">
        <v>4.3137181084320998E-2</v>
      </c>
      <c r="V270">
        <v>4.0994144891443499E-2</v>
      </c>
      <c r="W270">
        <v>3.9142211004280898E-2</v>
      </c>
      <c r="X270">
        <v>3.8978029389283401E-2</v>
      </c>
      <c r="Y270">
        <v>3.5914344702312501E-2</v>
      </c>
      <c r="Z270">
        <v>3.3994695937478898E-2</v>
      </c>
      <c r="AA270">
        <v>3.2243073115864003E-2</v>
      </c>
      <c r="AB270">
        <v>3.07275487449504E-2</v>
      </c>
      <c r="AC270">
        <v>2.9315912023642299E-2</v>
      </c>
      <c r="AD270">
        <v>2.8135441627488302E-2</v>
      </c>
      <c r="AE270">
        <v>2.7011205017261401E-2</v>
      </c>
      <c r="AF270">
        <v>2.56982690017948E-2</v>
      </c>
      <c r="AG270">
        <v>2.4784704583894999E-2</v>
      </c>
      <c r="AH270">
        <v>2.3599525654654601E-2</v>
      </c>
      <c r="AI270">
        <v>2.1979874242734398E-2</v>
      </c>
      <c r="AJ270">
        <v>2.0329069412320998E-2</v>
      </c>
      <c r="AK270">
        <v>1.8708860095201701E-2</v>
      </c>
      <c r="AL270">
        <v>1.7146767583524201E-2</v>
      </c>
      <c r="AM270">
        <v>1.5632404857043199E-2</v>
      </c>
      <c r="AN270">
        <v>1.41144427291158E-2</v>
      </c>
      <c r="AO270">
        <v>1.26593498564778E-2</v>
      </c>
      <c r="AP270">
        <v>1.1340055421590301E-2</v>
      </c>
      <c r="AQ270">
        <v>1.0145682698051901E-2</v>
      </c>
      <c r="AR270">
        <v>9.0793277092743596E-3</v>
      </c>
      <c r="AS270">
        <v>8.1260197039004101E-3</v>
      </c>
    </row>
    <row r="271" spans="1:45" hidden="1" x14ac:dyDescent="0.3">
      <c r="A271" t="s">
        <v>772</v>
      </c>
      <c r="B271" t="s">
        <v>686</v>
      </c>
      <c r="C271" t="s">
        <v>681</v>
      </c>
      <c r="D271" t="s">
        <v>680</v>
      </c>
      <c r="E271" t="s">
        <v>696</v>
      </c>
      <c r="F271">
        <v>-11.7200458171177</v>
      </c>
      <c r="G271">
        <v>54.168990970764099</v>
      </c>
      <c r="H271">
        <v>85.417799600093801</v>
      </c>
      <c r="I271">
        <v>747.85168434068305</v>
      </c>
      <c r="J271">
        <v>0.75914705519445702</v>
      </c>
      <c r="K271">
        <v>0.71320312387753604</v>
      </c>
      <c r="L271">
        <v>0.69099587261847994</v>
      </c>
      <c r="M271">
        <v>0.83377068947618804</v>
      </c>
      <c r="N271">
        <v>0.77116570323860301</v>
      </c>
      <c r="O271">
        <v>0.77164332607074504</v>
      </c>
      <c r="P271">
        <v>0.77063855678912996</v>
      </c>
      <c r="Q271">
        <v>0.76837604435312301</v>
      </c>
      <c r="R271">
        <v>0.76547759417845795</v>
      </c>
      <c r="S271">
        <v>0.76296401648284395</v>
      </c>
      <c r="T271">
        <v>0.75962660139447102</v>
      </c>
      <c r="U271">
        <v>0.757193032387245</v>
      </c>
      <c r="V271">
        <v>0.75655663169722498</v>
      </c>
      <c r="W271">
        <v>0.75701913479942295</v>
      </c>
      <c r="X271">
        <v>0.75920881617907898</v>
      </c>
      <c r="Y271">
        <v>0.76161401957832198</v>
      </c>
      <c r="Z271">
        <v>0.76444460941095604</v>
      </c>
      <c r="AA271">
        <v>0.76597198868184302</v>
      </c>
      <c r="AB271">
        <v>0.76859623282270495</v>
      </c>
      <c r="AC271">
        <v>0.77200850680732502</v>
      </c>
      <c r="AD271">
        <v>0.77637033116093801</v>
      </c>
      <c r="AE271">
        <v>0.78089124960054102</v>
      </c>
      <c r="AF271">
        <v>0.785487983095845</v>
      </c>
      <c r="AG271">
        <v>0.79036532360733702</v>
      </c>
      <c r="AH271">
        <v>0.79542746344787196</v>
      </c>
      <c r="AI271">
        <v>0.80071490231171105</v>
      </c>
      <c r="AJ271">
        <v>0.80564817893367202</v>
      </c>
      <c r="AK271">
        <v>0.81094817962351295</v>
      </c>
      <c r="AL271">
        <v>0.81625290591739896</v>
      </c>
      <c r="AM271">
        <v>0.821604442345375</v>
      </c>
      <c r="AN271">
        <v>0.82687624970310802</v>
      </c>
      <c r="AO271">
        <v>0.83244425389532095</v>
      </c>
      <c r="AP271">
        <v>0.83779234922258705</v>
      </c>
      <c r="AQ271">
        <v>0.84270141311909197</v>
      </c>
      <c r="AR271">
        <v>0.84768945908878401</v>
      </c>
      <c r="AS271">
        <v>0.85307598207759805</v>
      </c>
    </row>
    <row r="272" spans="1:45" hidden="1" x14ac:dyDescent="0.3">
      <c r="A272" t="s">
        <v>772</v>
      </c>
      <c r="B272" t="s">
        <v>685</v>
      </c>
      <c r="C272" t="s">
        <v>681</v>
      </c>
      <c r="D272" t="s">
        <v>680</v>
      </c>
      <c r="E272" t="s">
        <v>696</v>
      </c>
      <c r="F272">
        <v>-11.7200458171177</v>
      </c>
      <c r="G272">
        <v>54.168990970764099</v>
      </c>
      <c r="H272">
        <v>85.417799600093801</v>
      </c>
      <c r="I272">
        <v>747.85168434068305</v>
      </c>
      <c r="J272">
        <v>0.75637930167759204</v>
      </c>
      <c r="K272">
        <v>0.707516428290483</v>
      </c>
      <c r="L272">
        <v>0.68230084824983295</v>
      </c>
      <c r="M272">
        <v>0.81933214121146003</v>
      </c>
      <c r="N272">
        <v>0.75379341156160196</v>
      </c>
      <c r="O272">
        <v>0.74918926083082404</v>
      </c>
      <c r="P272">
        <v>0.74233813409115201</v>
      </c>
      <c r="Q272">
        <v>0.73411568217378897</v>
      </c>
      <c r="R272">
        <v>0.72591357717794402</v>
      </c>
      <c r="S272">
        <v>0.71937558146892799</v>
      </c>
      <c r="T272">
        <v>0.71198467574143898</v>
      </c>
      <c r="U272">
        <v>0.70559293484641294</v>
      </c>
      <c r="V272">
        <v>0.70114870133038898</v>
      </c>
      <c r="W272">
        <v>0.69796227784270004</v>
      </c>
      <c r="X272">
        <v>0.69724349471605396</v>
      </c>
      <c r="Y272">
        <v>0.69654891486041104</v>
      </c>
      <c r="Z272">
        <v>0.69610857140262605</v>
      </c>
      <c r="AA272">
        <v>0.69327665797917803</v>
      </c>
      <c r="AB272">
        <v>0.69332911185671797</v>
      </c>
      <c r="AC272">
        <v>0.69534087661045496</v>
      </c>
      <c r="AD272">
        <v>0.69891356803168903</v>
      </c>
      <c r="AE272">
        <v>0.70309386619792402</v>
      </c>
      <c r="AF272">
        <v>0.70687332137571202</v>
      </c>
      <c r="AG272">
        <v>0.71108014493942495</v>
      </c>
      <c r="AH272">
        <v>0.71564339708742897</v>
      </c>
      <c r="AI272">
        <v>0.72040716735191801</v>
      </c>
      <c r="AJ272">
        <v>0.72467649147050694</v>
      </c>
      <c r="AK272">
        <v>0.72919431685670699</v>
      </c>
      <c r="AL272">
        <v>0.73381222216424602</v>
      </c>
      <c r="AM272">
        <v>0.73850695158259005</v>
      </c>
      <c r="AN272">
        <v>0.74311417840884897</v>
      </c>
      <c r="AO272">
        <v>0.74810254117141695</v>
      </c>
      <c r="AP272">
        <v>0.75318278386936699</v>
      </c>
      <c r="AQ272">
        <v>0.75763879228172104</v>
      </c>
      <c r="AR272">
        <v>0.762365017260905</v>
      </c>
      <c r="AS272">
        <v>0.76727462569904703</v>
      </c>
    </row>
    <row r="273" spans="1:45" hidden="1" x14ac:dyDescent="0.3">
      <c r="A273" t="s">
        <v>772</v>
      </c>
      <c r="B273" t="s">
        <v>684</v>
      </c>
      <c r="C273" t="s">
        <v>681</v>
      </c>
      <c r="D273" t="s">
        <v>680</v>
      </c>
      <c r="E273" t="s">
        <v>696</v>
      </c>
      <c r="F273">
        <v>-11.7200458171177</v>
      </c>
      <c r="G273">
        <v>54.168990970764099</v>
      </c>
      <c r="H273">
        <v>2346.68408305397</v>
      </c>
      <c r="I273">
        <v>27934.804458393301</v>
      </c>
      <c r="J273">
        <v>9.51791799702362E-2</v>
      </c>
      <c r="K273">
        <v>9.1822977956083393E-2</v>
      </c>
      <c r="L273">
        <v>4.8286110315702603E-2</v>
      </c>
      <c r="M273">
        <v>4.5753277728523202E-2</v>
      </c>
      <c r="N273">
        <v>3.8896043423744697E-2</v>
      </c>
      <c r="O273">
        <v>3.83756434271674E-2</v>
      </c>
      <c r="P273">
        <v>3.9422067650691998E-2</v>
      </c>
      <c r="Q273">
        <v>3.99961929404265E-2</v>
      </c>
      <c r="R273">
        <v>3.9532361300632098E-2</v>
      </c>
      <c r="S273">
        <v>3.8687065944456103E-2</v>
      </c>
      <c r="T273">
        <v>3.726301011008E-2</v>
      </c>
      <c r="U273">
        <v>3.5981368610060301E-2</v>
      </c>
      <c r="V273">
        <v>3.48182351534852E-2</v>
      </c>
      <c r="W273">
        <v>3.3784114765250603E-2</v>
      </c>
      <c r="X273">
        <v>3.2350730418803098E-2</v>
      </c>
      <c r="Y273">
        <v>2.7665474342094699E-2</v>
      </c>
      <c r="Z273">
        <v>2.5707185018865E-2</v>
      </c>
      <c r="AA273">
        <v>2.44773116553825E-2</v>
      </c>
      <c r="AB273">
        <v>2.2730516567295099E-2</v>
      </c>
      <c r="AC273">
        <v>2.1434605125370199E-2</v>
      </c>
      <c r="AD273">
        <v>2.05471826012955E-2</v>
      </c>
      <c r="AE273">
        <v>1.97480974664625E-2</v>
      </c>
      <c r="AF273">
        <v>1.9078375279160401E-2</v>
      </c>
      <c r="AG273">
        <v>1.86194708606967E-2</v>
      </c>
      <c r="AH273">
        <v>1.8004128323688699E-2</v>
      </c>
      <c r="AI273">
        <v>1.68922851806717E-2</v>
      </c>
      <c r="AJ273">
        <v>1.57942629637511E-2</v>
      </c>
      <c r="AK273">
        <v>1.46753888207302E-2</v>
      </c>
      <c r="AL273">
        <v>1.36182179809647E-2</v>
      </c>
      <c r="AM273">
        <v>1.2617123492558301E-2</v>
      </c>
      <c r="AN273">
        <v>1.1621273951145801E-2</v>
      </c>
      <c r="AO273">
        <v>1.0663522637305099E-2</v>
      </c>
      <c r="AP273">
        <v>9.7866471033937197E-3</v>
      </c>
      <c r="AQ273">
        <v>8.9760092330662296E-3</v>
      </c>
      <c r="AR273">
        <v>8.2389546244319902E-3</v>
      </c>
      <c r="AS273">
        <v>7.5845040411033401E-3</v>
      </c>
    </row>
    <row r="274" spans="1:45" hidden="1" x14ac:dyDescent="0.3">
      <c r="A274" t="s">
        <v>772</v>
      </c>
      <c r="B274" t="s">
        <v>682</v>
      </c>
      <c r="C274" t="s">
        <v>681</v>
      </c>
      <c r="D274" t="s">
        <v>680</v>
      </c>
      <c r="E274" t="s">
        <v>696</v>
      </c>
      <c r="F274">
        <v>-11.7200458171177</v>
      </c>
      <c r="G274">
        <v>54.168990970764099</v>
      </c>
      <c r="H274">
        <v>2346.68408305397</v>
      </c>
      <c r="I274">
        <v>27934.804458393301</v>
      </c>
      <c r="J274">
        <v>9.4941448953673804E-2</v>
      </c>
      <c r="K274">
        <v>9.13145721721558E-2</v>
      </c>
      <c r="L274">
        <v>4.7217583751923801E-2</v>
      </c>
      <c r="M274">
        <v>4.3907979287746202E-2</v>
      </c>
      <c r="N274">
        <v>3.6572169627378102E-2</v>
      </c>
      <c r="O274">
        <v>3.56073302887292E-2</v>
      </c>
      <c r="P274">
        <v>3.5981523860860502E-2</v>
      </c>
      <c r="Q274">
        <v>3.5909783035807698E-2</v>
      </c>
      <c r="R274">
        <v>3.4944957670743397E-2</v>
      </c>
      <c r="S274">
        <v>3.37209229822268E-2</v>
      </c>
      <c r="T274">
        <v>3.2019087954938297E-2</v>
      </c>
      <c r="U274">
        <v>3.0502960743205298E-2</v>
      </c>
      <c r="V274">
        <v>2.9151652324289502E-2</v>
      </c>
      <c r="W274">
        <v>2.7971212498590199E-2</v>
      </c>
      <c r="X274">
        <v>2.64901477386583E-2</v>
      </c>
      <c r="Y274">
        <v>2.24236883268382E-2</v>
      </c>
      <c r="Z274">
        <v>2.0820756637363502E-2</v>
      </c>
      <c r="AA274">
        <v>1.9835907677255401E-2</v>
      </c>
      <c r="AB274">
        <v>1.83955549079668E-2</v>
      </c>
      <c r="AC274">
        <v>1.7340380084881101E-2</v>
      </c>
      <c r="AD274">
        <v>1.6626063262134901E-2</v>
      </c>
      <c r="AE274">
        <v>1.6013107115137201E-2</v>
      </c>
      <c r="AF274">
        <v>1.55042771924505E-2</v>
      </c>
      <c r="AG274">
        <v>1.5231218088277401E-2</v>
      </c>
      <c r="AH274">
        <v>1.48041840690888E-2</v>
      </c>
      <c r="AI274">
        <v>1.3969134995834799E-2</v>
      </c>
      <c r="AJ274">
        <v>1.31303263976902E-2</v>
      </c>
      <c r="AK274">
        <v>1.22731838023643E-2</v>
      </c>
      <c r="AL274">
        <v>1.145677442497E-2</v>
      </c>
      <c r="AM274">
        <v>1.06774766020678E-2</v>
      </c>
      <c r="AN274">
        <v>9.8847831169686998E-3</v>
      </c>
      <c r="AO274">
        <v>9.1120338515749896E-3</v>
      </c>
      <c r="AP274">
        <v>8.4031808928971101E-3</v>
      </c>
      <c r="AQ274">
        <v>7.7430860769782499E-3</v>
      </c>
      <c r="AR274">
        <v>7.14541324154772E-3</v>
      </c>
      <c r="AS274">
        <v>6.6123025990713303E-3</v>
      </c>
    </row>
    <row r="275" spans="1:45" hidden="1" x14ac:dyDescent="0.3">
      <c r="A275" t="s">
        <v>771</v>
      </c>
      <c r="B275" t="s">
        <v>686</v>
      </c>
      <c r="C275" t="s">
        <v>681</v>
      </c>
      <c r="D275" t="s">
        <v>680</v>
      </c>
      <c r="E275" t="s">
        <v>746</v>
      </c>
      <c r="F275">
        <v>999</v>
      </c>
      <c r="G275">
        <v>0</v>
      </c>
      <c r="H275">
        <v>-54.339985041868999</v>
      </c>
      <c r="I275">
        <v>-1336.70514984294</v>
      </c>
      <c r="J275">
        <v>0.47390858853090001</v>
      </c>
      <c r="K275">
        <v>0.49794070649939998</v>
      </c>
      <c r="L275">
        <v>0.45538162337980997</v>
      </c>
      <c r="M275">
        <v>0.497237989580046</v>
      </c>
      <c r="N275">
        <v>0.43834020115161099</v>
      </c>
      <c r="O275">
        <v>0.48715574216680801</v>
      </c>
      <c r="P275">
        <v>0.49088531848497002</v>
      </c>
      <c r="Q275">
        <v>0.49297440422692201</v>
      </c>
      <c r="R275">
        <v>0.49384690508881302</v>
      </c>
      <c r="S275">
        <v>0.49570774545474</v>
      </c>
      <c r="T275">
        <v>0.49571524358802599</v>
      </c>
      <c r="U275">
        <v>0.49681649660363297</v>
      </c>
      <c r="V275">
        <v>0.499596342319582</v>
      </c>
      <c r="W275">
        <v>0.50383599104474397</v>
      </c>
      <c r="X275">
        <v>0.51036997168129705</v>
      </c>
      <c r="Y275">
        <v>0.51700985793212495</v>
      </c>
      <c r="Z275">
        <v>0.52381674626450303</v>
      </c>
      <c r="AA275">
        <v>0.52866690814115402</v>
      </c>
      <c r="AB275">
        <v>0.53549053026350601</v>
      </c>
      <c r="AC275">
        <v>0.54299768492070299</v>
      </c>
      <c r="AD275">
        <v>0.55178363473962</v>
      </c>
      <c r="AE275">
        <v>0.56099283414833401</v>
      </c>
      <c r="AF275">
        <v>0.57003220991354298</v>
      </c>
      <c r="AG275">
        <v>0.57915270926067997</v>
      </c>
      <c r="AH275">
        <v>0.58852489563822996</v>
      </c>
      <c r="AI275">
        <v>0.59842961320093602</v>
      </c>
      <c r="AJ275">
        <v>0.60760519144589498</v>
      </c>
      <c r="AK275">
        <v>0.61718049673421504</v>
      </c>
      <c r="AL275">
        <v>0.626875034740907</v>
      </c>
      <c r="AM275">
        <v>0.63660397252465495</v>
      </c>
      <c r="AN275">
        <v>0.64605699359100499</v>
      </c>
      <c r="AO275">
        <v>0.65597285486233003</v>
      </c>
      <c r="AP275">
        <v>0.66577150078180503</v>
      </c>
      <c r="AQ275">
        <v>0.67476769180838903</v>
      </c>
      <c r="AR275">
        <v>0.68432157424456497</v>
      </c>
      <c r="AS275">
        <v>0.69424583611743595</v>
      </c>
    </row>
    <row r="276" spans="1:45" hidden="1" x14ac:dyDescent="0.3">
      <c r="A276" t="s">
        <v>771</v>
      </c>
      <c r="B276" t="s">
        <v>685</v>
      </c>
      <c r="C276" t="s">
        <v>681</v>
      </c>
      <c r="D276" t="s">
        <v>680</v>
      </c>
      <c r="E276" t="s">
        <v>746</v>
      </c>
      <c r="F276">
        <v>999</v>
      </c>
      <c r="G276">
        <v>0</v>
      </c>
      <c r="H276">
        <v>-54.339985041868999</v>
      </c>
      <c r="I276">
        <v>-1336.70514984294</v>
      </c>
      <c r="J276">
        <v>0.47264046623087902</v>
      </c>
      <c r="K276">
        <v>0.49511001506591601</v>
      </c>
      <c r="L276">
        <v>0.45144519077203199</v>
      </c>
      <c r="M276">
        <v>0.49148791547020498</v>
      </c>
      <c r="N276">
        <v>0.43201747661294998</v>
      </c>
      <c r="O276">
        <v>0.47877591999723501</v>
      </c>
      <c r="P276">
        <v>0.48112419746148399</v>
      </c>
      <c r="Q276">
        <v>0.48189279887981801</v>
      </c>
      <c r="R276">
        <v>0.482432844882557</v>
      </c>
      <c r="S276">
        <v>0.48409166886053001</v>
      </c>
      <c r="T276">
        <v>0.48407064116308601</v>
      </c>
      <c r="U276">
        <v>0.48523039073481</v>
      </c>
      <c r="V276">
        <v>0.48812539299396002</v>
      </c>
      <c r="W276">
        <v>0.49252856560173103</v>
      </c>
      <c r="X276">
        <v>0.49924640343740601</v>
      </c>
      <c r="Y276">
        <v>0.50613160448055705</v>
      </c>
      <c r="Z276">
        <v>0.51359152689211895</v>
      </c>
      <c r="AA276">
        <v>0.51922483851241397</v>
      </c>
      <c r="AB276">
        <v>0.526757458625985</v>
      </c>
      <c r="AC276">
        <v>0.53492946786262496</v>
      </c>
      <c r="AD276">
        <v>0.54433244822607296</v>
      </c>
      <c r="AE276">
        <v>0.55412751739805499</v>
      </c>
      <c r="AF276">
        <v>0.56373063460105</v>
      </c>
      <c r="AG276">
        <v>0.57339054660147704</v>
      </c>
      <c r="AH276">
        <v>0.583277434349602</v>
      </c>
      <c r="AI276">
        <v>0.59367149306942302</v>
      </c>
      <c r="AJ276">
        <v>0.60332217867815796</v>
      </c>
      <c r="AK276">
        <v>0.61335019228736998</v>
      </c>
      <c r="AL276">
        <v>0.62347830268897098</v>
      </c>
      <c r="AM276">
        <v>0.63362305514901396</v>
      </c>
      <c r="AN276">
        <v>0.64347612961353595</v>
      </c>
      <c r="AO276">
        <v>0.65377394149972801</v>
      </c>
      <c r="AP276">
        <v>0.66393955195823995</v>
      </c>
      <c r="AQ276">
        <v>0.67328963831225697</v>
      </c>
      <c r="AR276">
        <v>0.68318142991455999</v>
      </c>
      <c r="AS276">
        <v>0.69342933270820295</v>
      </c>
    </row>
    <row r="277" spans="1:45" hidden="1" x14ac:dyDescent="0.3">
      <c r="A277" t="s">
        <v>771</v>
      </c>
      <c r="B277" t="s">
        <v>684</v>
      </c>
      <c r="C277" t="s">
        <v>681</v>
      </c>
      <c r="D277" t="s">
        <v>680</v>
      </c>
      <c r="E277" t="s">
        <v>746</v>
      </c>
      <c r="F277">
        <v>999</v>
      </c>
      <c r="G277">
        <v>0</v>
      </c>
      <c r="H277">
        <v>-55.107061273941802</v>
      </c>
      <c r="I277">
        <v>-1355.5743996034</v>
      </c>
      <c r="J277">
        <v>0.31198418632404501</v>
      </c>
      <c r="K277">
        <v>0.325593325085624</v>
      </c>
      <c r="L277">
        <v>0.18106752698951301</v>
      </c>
      <c r="M277">
        <v>0.174957361714698</v>
      </c>
      <c r="N277">
        <v>0.14484277113920399</v>
      </c>
      <c r="O277">
        <v>0.15387251751379999</v>
      </c>
      <c r="P277">
        <v>0.15056696518785301</v>
      </c>
      <c r="Q277">
        <v>0.147730617220797</v>
      </c>
      <c r="R277">
        <v>0.14275823837021701</v>
      </c>
      <c r="S277">
        <v>0.13889628496947001</v>
      </c>
      <c r="T277">
        <v>0.133023555225803</v>
      </c>
      <c r="U277">
        <v>0.12850117198755701</v>
      </c>
      <c r="V277">
        <v>0.125131100084724</v>
      </c>
      <c r="W277">
        <v>0.122727838365832</v>
      </c>
      <c r="X277">
        <v>0.116740674061838</v>
      </c>
      <c r="Y277">
        <v>0.100947082244027</v>
      </c>
      <c r="Z277">
        <v>0.10156857634330201</v>
      </c>
      <c r="AA277">
        <v>0.103979159706181</v>
      </c>
      <c r="AB277">
        <v>0.10011556932384701</v>
      </c>
      <c r="AC277">
        <v>9.7213066456507999E-2</v>
      </c>
      <c r="AD277">
        <v>9.5048048026674797E-2</v>
      </c>
      <c r="AE277">
        <v>9.2930270923973601E-2</v>
      </c>
      <c r="AF277">
        <v>9.0731566220949494E-2</v>
      </c>
      <c r="AG277">
        <v>8.9555350170072795E-2</v>
      </c>
      <c r="AH277">
        <v>8.7131317149452298E-2</v>
      </c>
      <c r="AI277">
        <v>8.2149040400985696E-2</v>
      </c>
      <c r="AJ277">
        <v>7.68595810766462E-2</v>
      </c>
      <c r="AK277">
        <v>7.1601134334717306E-2</v>
      </c>
      <c r="AL277">
        <v>6.6433056504887206E-2</v>
      </c>
      <c r="AM277">
        <v>6.13719531167339E-2</v>
      </c>
      <c r="AN277">
        <v>5.6152464247043898E-2</v>
      </c>
      <c r="AO277">
        <v>5.10139765950876E-2</v>
      </c>
      <c r="AP277">
        <v>4.6277521755082103E-2</v>
      </c>
      <c r="AQ277">
        <v>4.1925886564081499E-2</v>
      </c>
      <c r="AR277">
        <v>3.8055525013381802E-2</v>
      </c>
      <c r="AS277">
        <v>3.4583734919614001E-2</v>
      </c>
    </row>
    <row r="278" spans="1:45" hidden="1" x14ac:dyDescent="0.3">
      <c r="A278" t="s">
        <v>771</v>
      </c>
      <c r="B278" t="s">
        <v>682</v>
      </c>
      <c r="C278" t="s">
        <v>681</v>
      </c>
      <c r="D278" t="s">
        <v>680</v>
      </c>
      <c r="E278" t="s">
        <v>746</v>
      </c>
      <c r="F278">
        <v>999</v>
      </c>
      <c r="G278">
        <v>0</v>
      </c>
      <c r="H278">
        <v>-55.107061273941802</v>
      </c>
      <c r="I278">
        <v>-1355.5743996034</v>
      </c>
      <c r="J278">
        <v>0.31098663845423702</v>
      </c>
      <c r="K278">
        <v>0.323395404970717</v>
      </c>
      <c r="L278">
        <v>0.17857652270764601</v>
      </c>
      <c r="M278">
        <v>0.171430282219177</v>
      </c>
      <c r="N278">
        <v>0.140982759015298</v>
      </c>
      <c r="O278">
        <v>0.14875648274157299</v>
      </c>
      <c r="P278">
        <v>0.14450897378341601</v>
      </c>
      <c r="Q278">
        <v>0.14072830318059601</v>
      </c>
      <c r="R278">
        <v>0.135307221204714</v>
      </c>
      <c r="S278">
        <v>0.13101329671683101</v>
      </c>
      <c r="T278">
        <v>0.124964370800869</v>
      </c>
      <c r="U278">
        <v>0.120255902891171</v>
      </c>
      <c r="V278">
        <v>0.116696454078591</v>
      </c>
      <c r="W278">
        <v>0.11410499263401699</v>
      </c>
      <c r="X278">
        <v>0.108205859754161</v>
      </c>
      <c r="Y278">
        <v>9.3537888446301301E-2</v>
      </c>
      <c r="Z278">
        <v>9.4036263616995297E-2</v>
      </c>
      <c r="AA278">
        <v>9.6234303068092095E-2</v>
      </c>
      <c r="AB278">
        <v>9.26047516676438E-2</v>
      </c>
      <c r="AC278">
        <v>8.9920486211950895E-2</v>
      </c>
      <c r="AD278">
        <v>8.8005304954507702E-2</v>
      </c>
      <c r="AE278">
        <v>8.6179237332906403E-2</v>
      </c>
      <c r="AF278">
        <v>8.4320852729571405E-2</v>
      </c>
      <c r="AG278">
        <v>8.3667620414436705E-2</v>
      </c>
      <c r="AH278">
        <v>8.1776476290140704E-2</v>
      </c>
      <c r="AI278">
        <v>7.7457152087644102E-2</v>
      </c>
      <c r="AJ278">
        <v>7.2815069500148905E-2</v>
      </c>
      <c r="AK278">
        <v>6.8161508588933994E-2</v>
      </c>
      <c r="AL278">
        <v>6.3548558530313104E-2</v>
      </c>
      <c r="AM278">
        <v>5.8996969465796099E-2</v>
      </c>
      <c r="AN278">
        <v>5.4231935152944201E-2</v>
      </c>
      <c r="AO278">
        <v>4.9491222851177699E-2</v>
      </c>
      <c r="AP278">
        <v>4.50931096918675E-2</v>
      </c>
      <c r="AQ278">
        <v>4.1023666587290397E-2</v>
      </c>
      <c r="AR278">
        <v>3.7388471289672202E-2</v>
      </c>
      <c r="AS278">
        <v>3.41117152891042E-2</v>
      </c>
    </row>
    <row r="279" spans="1:45" hidden="1" x14ac:dyDescent="0.3">
      <c r="A279" t="s">
        <v>770</v>
      </c>
      <c r="B279" t="s">
        <v>686</v>
      </c>
      <c r="C279" t="s">
        <v>681</v>
      </c>
      <c r="D279" t="s">
        <v>680</v>
      </c>
      <c r="E279" t="s">
        <v>8</v>
      </c>
      <c r="F279">
        <v>999</v>
      </c>
      <c r="G279">
        <v>0</v>
      </c>
      <c r="H279">
        <v>-3.8350851740846101</v>
      </c>
      <c r="I279">
        <v>-94.338967858298702</v>
      </c>
      <c r="J279">
        <v>1.7189127996899999E-2</v>
      </c>
      <c r="K279">
        <v>1.7422067256300001E-2</v>
      </c>
      <c r="L279">
        <v>1.74095650932319E-2</v>
      </c>
      <c r="M279">
        <v>1.7497408144548501E-2</v>
      </c>
      <c r="N279">
        <v>1.7625487561420499E-2</v>
      </c>
      <c r="O279">
        <v>1.7715694158528399E-2</v>
      </c>
      <c r="P279">
        <v>1.7708080638927998E-2</v>
      </c>
      <c r="Q279">
        <v>1.77227233294995E-2</v>
      </c>
      <c r="R279">
        <v>1.77682583863937E-2</v>
      </c>
      <c r="S279">
        <v>1.7895205668290101E-2</v>
      </c>
      <c r="T279">
        <v>1.7975119792171299E-2</v>
      </c>
      <c r="U279">
        <v>1.80649063559459E-2</v>
      </c>
      <c r="V279">
        <v>1.81689209405302E-2</v>
      </c>
      <c r="W279">
        <v>1.82872884618938E-2</v>
      </c>
      <c r="X279">
        <v>1.84593697241246E-2</v>
      </c>
      <c r="Y279">
        <v>1.86277369928976E-2</v>
      </c>
      <c r="Z279">
        <v>1.8782375410412E-2</v>
      </c>
      <c r="AA279">
        <v>1.8869448142230402E-2</v>
      </c>
      <c r="AB279">
        <v>1.90235620040651E-2</v>
      </c>
      <c r="AC279">
        <v>1.9166619304488298E-2</v>
      </c>
      <c r="AD279">
        <v>1.9346620077194801E-2</v>
      </c>
      <c r="AE279">
        <v>1.95424775987935E-2</v>
      </c>
      <c r="AF279">
        <v>1.9711002233141001E-2</v>
      </c>
      <c r="AG279">
        <v>1.9888670353232499E-2</v>
      </c>
      <c r="AH279">
        <v>2.0073734296781501E-2</v>
      </c>
      <c r="AI279">
        <v>2.0253238075557099E-2</v>
      </c>
      <c r="AJ279">
        <v>2.0426132862648001E-2</v>
      </c>
      <c r="AK279">
        <v>2.05938613192342E-2</v>
      </c>
      <c r="AL279">
        <v>2.0768840181912301E-2</v>
      </c>
      <c r="AM279">
        <v>2.0950698519742E-2</v>
      </c>
      <c r="AN279">
        <v>2.1137871617797201E-2</v>
      </c>
      <c r="AO279">
        <v>2.1334294239620698E-2</v>
      </c>
      <c r="AP279">
        <v>2.1550032222298201E-2</v>
      </c>
      <c r="AQ279">
        <v>2.17530505003024E-2</v>
      </c>
      <c r="AR279">
        <v>2.19648534705577E-2</v>
      </c>
      <c r="AS279">
        <v>2.21654296002009E-2</v>
      </c>
    </row>
    <row r="280" spans="1:45" hidden="1" x14ac:dyDescent="0.3">
      <c r="A280" t="s">
        <v>770</v>
      </c>
      <c r="B280" t="s">
        <v>685</v>
      </c>
      <c r="C280" t="s">
        <v>681</v>
      </c>
      <c r="D280" t="s">
        <v>680</v>
      </c>
      <c r="E280" t="s">
        <v>8</v>
      </c>
      <c r="F280">
        <v>999</v>
      </c>
      <c r="G280">
        <v>0</v>
      </c>
      <c r="H280">
        <v>-3.8350851740846101</v>
      </c>
      <c r="I280">
        <v>-94.338967858298702</v>
      </c>
      <c r="J280">
        <v>1.7189127996899999E-2</v>
      </c>
      <c r="K280">
        <v>1.7422067256300001E-2</v>
      </c>
      <c r="L280">
        <v>1.74095650932319E-2</v>
      </c>
      <c r="M280">
        <v>1.5834822283160601E-2</v>
      </c>
      <c r="N280">
        <v>1.4449185406558601E-2</v>
      </c>
      <c r="O280">
        <v>1.30574341095779E-2</v>
      </c>
      <c r="P280">
        <v>1.1635957859665501E-2</v>
      </c>
      <c r="Q280">
        <v>1.02756896156484E-2</v>
      </c>
      <c r="R280">
        <v>8.9766240588512406E-3</v>
      </c>
      <c r="S280">
        <v>7.75139296234135E-3</v>
      </c>
      <c r="T280">
        <v>6.5337313713332498E-3</v>
      </c>
      <c r="U280">
        <v>5.3514597277306598E-3</v>
      </c>
      <c r="V280">
        <v>4.1964025975033299E-3</v>
      </c>
      <c r="W280">
        <v>3.0378805493382799E-3</v>
      </c>
      <c r="X280">
        <v>2.6670649119710098E-3</v>
      </c>
      <c r="Y280">
        <v>2.6255931095501999E-3</v>
      </c>
      <c r="Z280">
        <v>2.5841280317638101E-3</v>
      </c>
      <c r="AA280">
        <v>2.5355670599270098E-3</v>
      </c>
      <c r="AB280">
        <v>2.4979478333993E-3</v>
      </c>
      <c r="AC280">
        <v>2.4605002294081201E-3</v>
      </c>
      <c r="AD280">
        <v>2.42927128401743E-3</v>
      </c>
      <c r="AE280">
        <v>2.4012856520570598E-3</v>
      </c>
      <c r="AF280">
        <v>2.3711108371827498E-3</v>
      </c>
      <c r="AG280">
        <v>2.36924387414137E-3</v>
      </c>
      <c r="AH280">
        <v>2.38109583996861E-3</v>
      </c>
      <c r="AI280">
        <v>2.3931003440709202E-3</v>
      </c>
      <c r="AJ280">
        <v>2.4050705396992701E-3</v>
      </c>
      <c r="AK280">
        <v>2.41711825195743E-3</v>
      </c>
      <c r="AL280">
        <v>2.4306418447170301E-3</v>
      </c>
      <c r="AM280">
        <v>2.4455360529864701E-3</v>
      </c>
      <c r="AN280">
        <v>2.4615631197829101E-3</v>
      </c>
      <c r="AO280">
        <v>2.47913134093523E-3</v>
      </c>
      <c r="AP280">
        <v>2.4993612148936301E-3</v>
      </c>
      <c r="AQ280">
        <v>2.5184954896299398E-3</v>
      </c>
      <c r="AR280">
        <v>2.5389946073924E-3</v>
      </c>
      <c r="AS280">
        <v>2.5585140449157799E-3</v>
      </c>
    </row>
    <row r="281" spans="1:45" hidden="1" x14ac:dyDescent="0.3">
      <c r="A281" t="s">
        <v>770</v>
      </c>
      <c r="B281" t="s">
        <v>684</v>
      </c>
      <c r="C281" t="s">
        <v>681</v>
      </c>
      <c r="D281" t="s">
        <v>680</v>
      </c>
      <c r="E281" t="s">
        <v>8</v>
      </c>
      <c r="F281">
        <v>999</v>
      </c>
      <c r="G281">
        <v>0</v>
      </c>
      <c r="H281">
        <v>-4.1124345329594396</v>
      </c>
      <c r="I281">
        <v>-101.161463595608</v>
      </c>
      <c r="J281">
        <v>8.5945639984499993E-3</v>
      </c>
      <c r="K281">
        <v>8.7110336281500007E-3</v>
      </c>
      <c r="L281">
        <v>-1.1641532182693499E-19</v>
      </c>
      <c r="M281">
        <v>1.90667267039647E-3</v>
      </c>
      <c r="N281">
        <v>3.64261922295453E-3</v>
      </c>
      <c r="O281">
        <v>5.2009382576071799E-3</v>
      </c>
      <c r="P281">
        <v>6.5625387438382199E-3</v>
      </c>
      <c r="Q281">
        <v>7.7785498574481499E-3</v>
      </c>
      <c r="R281">
        <v>8.8726810979424496E-3</v>
      </c>
      <c r="S281">
        <v>9.8946359167684794E-3</v>
      </c>
      <c r="T281">
        <v>1.0798897255947E-2</v>
      </c>
      <c r="U281">
        <v>1.16400222079046E-2</v>
      </c>
      <c r="V281">
        <v>1.24085802800753E-2</v>
      </c>
      <c r="W281">
        <v>1.32463355639778E-2</v>
      </c>
      <c r="X281">
        <v>1.3941938293233499E-2</v>
      </c>
      <c r="Y281">
        <v>1.45806383041265E-2</v>
      </c>
      <c r="Z281">
        <v>1.5159051421786401E-2</v>
      </c>
      <c r="AA281">
        <v>1.5635119358448701E-2</v>
      </c>
      <c r="AB281">
        <v>1.6125643481348501E-2</v>
      </c>
      <c r="AC281">
        <v>1.6571508753814499E-2</v>
      </c>
      <c r="AD281">
        <v>1.7017730801347001E-2</v>
      </c>
      <c r="AE281">
        <v>1.74497730236561E-2</v>
      </c>
      <c r="AF281">
        <v>1.7832380600416899E-2</v>
      </c>
      <c r="AG281">
        <v>1.8200686493016999E-2</v>
      </c>
      <c r="AH281">
        <v>1.85556106483327E-2</v>
      </c>
      <c r="AI281">
        <v>1.8887326338756099E-2</v>
      </c>
      <c r="AJ281">
        <v>1.9196990985883799E-2</v>
      </c>
      <c r="AK281">
        <v>1.9487411818750501E-2</v>
      </c>
      <c r="AL281">
        <v>1.9771940697915401E-2</v>
      </c>
      <c r="AM281">
        <v>2.00517426296727E-2</v>
      </c>
      <c r="AN281">
        <v>2.0326555048036099E-2</v>
      </c>
      <c r="AO281">
        <v>2.06012049961843E-2</v>
      </c>
      <c r="AP281">
        <v>2.08864182600196E-2</v>
      </c>
      <c r="AQ281">
        <v>2.1151977458619499E-2</v>
      </c>
      <c r="AR281">
        <v>2.1418673198177401E-2</v>
      </c>
      <c r="AS281">
        <v>2.16682001291141E-2</v>
      </c>
    </row>
    <row r="282" spans="1:45" hidden="1" x14ac:dyDescent="0.3">
      <c r="A282" t="s">
        <v>770</v>
      </c>
      <c r="B282" t="s">
        <v>682</v>
      </c>
      <c r="C282" t="s">
        <v>681</v>
      </c>
      <c r="D282" t="s">
        <v>680</v>
      </c>
      <c r="E282" t="s">
        <v>8</v>
      </c>
      <c r="F282">
        <v>999</v>
      </c>
      <c r="G282">
        <v>0</v>
      </c>
      <c r="H282">
        <v>-4.1124345329594396</v>
      </c>
      <c r="I282">
        <v>-101.161463595608</v>
      </c>
      <c r="J282">
        <v>8.5945639984499993E-3</v>
      </c>
      <c r="K282">
        <v>8.7110336281500007E-3</v>
      </c>
      <c r="L282">
        <v>-1.1641532182693499E-19</v>
      </c>
      <c r="M282">
        <v>1.67757948424738E-3</v>
      </c>
      <c r="N282">
        <v>2.8686648561864498E-3</v>
      </c>
      <c r="O282">
        <v>3.6695891389412301E-3</v>
      </c>
      <c r="P282">
        <v>4.1324417352449003E-3</v>
      </c>
      <c r="Q282">
        <v>4.3374627181824704E-3</v>
      </c>
      <c r="R282">
        <v>4.3343312558762103E-3</v>
      </c>
      <c r="S282">
        <v>4.17226177702549E-3</v>
      </c>
      <c r="T282">
        <v>3.8515970696266898E-3</v>
      </c>
      <c r="U282">
        <v>3.41763617103992E-3</v>
      </c>
      <c r="V282">
        <v>2.8761891845487599E-3</v>
      </c>
      <c r="W282">
        <v>2.24512768234841E-3</v>
      </c>
      <c r="X282">
        <v>2.0634615982060901E-3</v>
      </c>
      <c r="Y282">
        <v>2.0949065597959701E-3</v>
      </c>
      <c r="Z282">
        <v>2.11697820490666E-3</v>
      </c>
      <c r="AA282">
        <v>2.1248615578666002E-3</v>
      </c>
      <c r="AB282">
        <v>2.1349977780704701E-3</v>
      </c>
      <c r="AC282">
        <v>2.1395265384441899E-3</v>
      </c>
      <c r="AD282">
        <v>2.1445006110817101E-3</v>
      </c>
      <c r="AE282">
        <v>2.1480575987140901E-3</v>
      </c>
      <c r="AF282">
        <v>2.1459629991902999E-3</v>
      </c>
      <c r="AG282">
        <v>2.1681622860091998E-3</v>
      </c>
      <c r="AH282">
        <v>2.2010198336592699E-3</v>
      </c>
      <c r="AI282">
        <v>2.2317057149694201E-3</v>
      </c>
      <c r="AJ282">
        <v>2.2603454986553002E-3</v>
      </c>
      <c r="AK282">
        <v>2.2872533742139701E-3</v>
      </c>
      <c r="AL282">
        <v>2.31397160316497E-3</v>
      </c>
      <c r="AM282">
        <v>2.3406026047228098E-3</v>
      </c>
      <c r="AN282">
        <v>2.36708308022626E-3</v>
      </c>
      <c r="AO282">
        <v>2.3939434036783099E-3</v>
      </c>
      <c r="AP282">
        <v>2.4223956223658801E-3</v>
      </c>
      <c r="AQ282">
        <v>2.4489052616113302E-3</v>
      </c>
      <c r="AR282">
        <v>2.4758597101759701E-3</v>
      </c>
      <c r="AS282">
        <v>2.5011197778851998E-3</v>
      </c>
    </row>
    <row r="283" spans="1:45" x14ac:dyDescent="0.3">
      <c r="A283" t="s">
        <v>769</v>
      </c>
      <c r="B283" t="s">
        <v>686</v>
      </c>
      <c r="C283" t="s">
        <v>681</v>
      </c>
      <c r="D283" t="s">
        <v>719</v>
      </c>
      <c r="E283" t="s">
        <v>22</v>
      </c>
      <c r="F283">
        <v>-13.0327658633166</v>
      </c>
      <c r="G283">
        <v>23.330253272020698</v>
      </c>
      <c r="H283">
        <v>32.2839954554385</v>
      </c>
      <c r="I283">
        <v>608.48137388642795</v>
      </c>
      <c r="J283">
        <v>8.0980318699999998E-2</v>
      </c>
      <c r="K283">
        <v>8.3237936700000001E-2</v>
      </c>
      <c r="L283">
        <v>8.4253856200000005E-2</v>
      </c>
      <c r="M283">
        <v>8.5536660400000006E-2</v>
      </c>
      <c r="N283">
        <v>8.6691936799999994E-2</v>
      </c>
      <c r="O283">
        <v>8.7587429199999997E-2</v>
      </c>
      <c r="P283">
        <v>8.8199803699999996E-2</v>
      </c>
      <c r="Q283">
        <v>8.8678480599999998E-2</v>
      </c>
      <c r="R283">
        <v>8.8986591700000006E-2</v>
      </c>
      <c r="S283">
        <v>8.9165185800000005E-2</v>
      </c>
      <c r="T283">
        <v>8.9391331500000004E-2</v>
      </c>
      <c r="U283">
        <v>8.9866618300000006E-2</v>
      </c>
      <c r="V283">
        <v>9.0580057500000005E-2</v>
      </c>
      <c r="W283">
        <v>9.1382553199999994E-2</v>
      </c>
      <c r="X283">
        <v>9.2214059900000006E-2</v>
      </c>
      <c r="Y283">
        <v>9.30809056E-2</v>
      </c>
      <c r="Z283">
        <v>9.4019950000000005E-2</v>
      </c>
      <c r="AA283">
        <v>9.4884932199999994E-2</v>
      </c>
      <c r="AB283">
        <v>9.5698310300000006E-2</v>
      </c>
      <c r="AC283">
        <v>9.6531422500000005E-2</v>
      </c>
      <c r="AD283">
        <v>9.7383878399999999E-2</v>
      </c>
      <c r="AE283">
        <v>9.8214617000000004E-2</v>
      </c>
      <c r="AF283">
        <v>9.9028426000000003E-2</v>
      </c>
      <c r="AG283">
        <v>9.9895188600000004E-2</v>
      </c>
      <c r="AH283">
        <v>0.10078711579999999</v>
      </c>
      <c r="AI283">
        <v>0.1016627127</v>
      </c>
      <c r="AJ283">
        <v>0.102560573</v>
      </c>
      <c r="AK283">
        <v>0.10344365780000001</v>
      </c>
      <c r="AL283">
        <v>0.1042827554</v>
      </c>
      <c r="AM283">
        <v>0.1051025679</v>
      </c>
      <c r="AN283">
        <v>0.10591014429999999</v>
      </c>
      <c r="AO283">
        <v>0.10672656129999999</v>
      </c>
      <c r="AP283">
        <v>0.1075477735</v>
      </c>
      <c r="AQ283">
        <v>0.1083308318</v>
      </c>
      <c r="AR283">
        <v>0.1090499439</v>
      </c>
      <c r="AS283">
        <v>0.1097810018</v>
      </c>
    </row>
    <row r="284" spans="1:45" x14ac:dyDescent="0.3">
      <c r="A284" t="s">
        <v>769</v>
      </c>
      <c r="B284" t="s">
        <v>685</v>
      </c>
      <c r="C284" t="s">
        <v>681</v>
      </c>
      <c r="D284" t="s">
        <v>719</v>
      </c>
      <c r="E284" t="s">
        <v>22</v>
      </c>
      <c r="F284">
        <v>-13.0327658633166</v>
      </c>
      <c r="G284">
        <v>23.330253272020698</v>
      </c>
      <c r="H284">
        <v>32.2839954554385</v>
      </c>
      <c r="I284">
        <v>608.48137388642795</v>
      </c>
      <c r="J284">
        <v>7.9956535248305996E-2</v>
      </c>
      <c r="K284">
        <v>8.1277293487731994E-2</v>
      </c>
      <c r="L284">
        <v>8.1435954909936797E-2</v>
      </c>
      <c r="M284">
        <v>8.1930795174768506E-2</v>
      </c>
      <c r="N284">
        <v>8.2394148591820995E-2</v>
      </c>
      <c r="O284">
        <v>8.2722744342114102E-2</v>
      </c>
      <c r="P284">
        <v>8.2882680592301194E-2</v>
      </c>
      <c r="Q284">
        <v>8.3011724287736205E-2</v>
      </c>
      <c r="R284">
        <v>8.3068722114058399E-2</v>
      </c>
      <c r="S284">
        <v>8.3084359356988505E-2</v>
      </c>
      <c r="T284">
        <v>8.3384855736967897E-2</v>
      </c>
      <c r="U284">
        <v>8.4172565277781206E-2</v>
      </c>
      <c r="V284">
        <v>8.51786125187734E-2</v>
      </c>
      <c r="W284">
        <v>8.62627667503299E-2</v>
      </c>
      <c r="X284">
        <v>8.7367478815311303E-2</v>
      </c>
      <c r="Y284">
        <v>8.8497754993942399E-2</v>
      </c>
      <c r="Z284">
        <v>8.9687905927635606E-2</v>
      </c>
      <c r="AA284">
        <v>9.0797834706462993E-2</v>
      </c>
      <c r="AB284">
        <v>9.18478733683461E-2</v>
      </c>
      <c r="AC284">
        <v>9.2905835954583904E-2</v>
      </c>
      <c r="AD284">
        <v>9.3971305415625803E-2</v>
      </c>
      <c r="AE284">
        <v>9.5004635034622198E-2</v>
      </c>
      <c r="AF284">
        <v>9.60104766967389E-2</v>
      </c>
      <c r="AG284">
        <v>9.7056734400886496E-2</v>
      </c>
      <c r="AH284">
        <v>9.8116908208563003E-2</v>
      </c>
      <c r="AI284">
        <v>9.9151049434328994E-2</v>
      </c>
      <c r="AJ284">
        <v>0.100197095923988</v>
      </c>
      <c r="AK284">
        <v>0.10121928372753899</v>
      </c>
      <c r="AL284">
        <v>0.102189321727892</v>
      </c>
      <c r="AM284">
        <v>0.10313164422814999</v>
      </c>
      <c r="AN284">
        <v>0.104053537221224</v>
      </c>
      <c r="AO284">
        <v>0.10497614787045</v>
      </c>
      <c r="AP284">
        <v>0.105895902706911</v>
      </c>
      <c r="AQ284">
        <v>0.10677100875614599</v>
      </c>
      <c r="AR284">
        <v>0.107576218956424</v>
      </c>
      <c r="AS284">
        <v>0.108386796341075</v>
      </c>
    </row>
    <row r="285" spans="1:45" x14ac:dyDescent="0.3">
      <c r="A285" t="s">
        <v>769</v>
      </c>
      <c r="B285" t="s">
        <v>684</v>
      </c>
      <c r="C285" t="s">
        <v>681</v>
      </c>
      <c r="D285" t="s">
        <v>719</v>
      </c>
      <c r="E285" t="s">
        <v>22</v>
      </c>
      <c r="F285">
        <v>-13.0327658633166</v>
      </c>
      <c r="G285">
        <v>23.330253272020698</v>
      </c>
      <c r="H285">
        <v>43.695950938193697</v>
      </c>
      <c r="I285">
        <v>823.571304761379</v>
      </c>
      <c r="J285">
        <v>8.0980318699999998E-2</v>
      </c>
      <c r="K285">
        <v>8.3237936700000001E-2</v>
      </c>
      <c r="L285">
        <v>8.3132381979884401E-2</v>
      </c>
      <c r="M285">
        <v>8.3395837795042102E-2</v>
      </c>
      <c r="N285">
        <v>8.3630517682300703E-2</v>
      </c>
      <c r="O285">
        <v>8.3732253092284895E-2</v>
      </c>
      <c r="P285">
        <v>8.3651206995638494E-2</v>
      </c>
      <c r="Q285">
        <v>8.1909725123167396E-2</v>
      </c>
      <c r="R285">
        <v>8.0277616577065794E-2</v>
      </c>
      <c r="S285">
        <v>7.8764539236013703E-2</v>
      </c>
      <c r="T285">
        <v>7.6473997616335804E-2</v>
      </c>
      <c r="U285">
        <v>7.5296762165136796E-2</v>
      </c>
      <c r="V285">
        <v>7.4508262625637298E-2</v>
      </c>
      <c r="W285">
        <v>7.3955059875538798E-2</v>
      </c>
      <c r="X285">
        <v>7.3567127873761698E-2</v>
      </c>
      <c r="Y285">
        <v>7.3331266459020994E-2</v>
      </c>
      <c r="Z285">
        <v>7.3259524586192407E-2</v>
      </c>
      <c r="AA285">
        <v>7.3224595810565604E-2</v>
      </c>
      <c r="AB285">
        <v>7.3233491029372794E-2</v>
      </c>
      <c r="AC285">
        <v>7.3331099622875498E-2</v>
      </c>
      <c r="AD285">
        <v>7.3507784794460199E-2</v>
      </c>
      <c r="AE285">
        <v>7.3724090044929497E-2</v>
      </c>
      <c r="AF285">
        <v>7.3976576604621702E-2</v>
      </c>
      <c r="AG285">
        <v>7.4310946436671202E-2</v>
      </c>
      <c r="AH285">
        <v>7.4700700804004302E-2</v>
      </c>
      <c r="AI285">
        <v>7.51103738478065E-2</v>
      </c>
      <c r="AJ285">
        <v>7.5564749125594494E-2</v>
      </c>
      <c r="AK285">
        <v>7.6033013971714997E-2</v>
      </c>
      <c r="AL285">
        <v>7.6490741634853698E-2</v>
      </c>
      <c r="AM285">
        <v>7.6953471200414902E-2</v>
      </c>
      <c r="AN285">
        <v>7.7423965889993299E-2</v>
      </c>
      <c r="AO285">
        <v>7.7915572194021204E-2</v>
      </c>
      <c r="AP285">
        <v>7.8423494773995794E-2</v>
      </c>
      <c r="AQ285">
        <v>7.8914847018122999E-2</v>
      </c>
      <c r="AR285">
        <v>7.9369537629976394E-2</v>
      </c>
      <c r="AS285">
        <v>7.9841628778852702E-2</v>
      </c>
    </row>
    <row r="286" spans="1:45" x14ac:dyDescent="0.3">
      <c r="A286" t="s">
        <v>769</v>
      </c>
      <c r="B286" t="s">
        <v>682</v>
      </c>
      <c r="C286" t="s">
        <v>681</v>
      </c>
      <c r="D286" t="s">
        <v>719</v>
      </c>
      <c r="E286" t="s">
        <v>22</v>
      </c>
      <c r="F286">
        <v>-13.0327658633166</v>
      </c>
      <c r="G286">
        <v>23.330253272020698</v>
      </c>
      <c r="H286">
        <v>43.695950938193697</v>
      </c>
      <c r="I286">
        <v>823.571304761379</v>
      </c>
      <c r="J286">
        <v>7.9956535248305996E-2</v>
      </c>
      <c r="K286">
        <v>8.1277293487731994E-2</v>
      </c>
      <c r="L286">
        <v>8.0363276284440802E-2</v>
      </c>
      <c r="M286">
        <v>7.9897098243655998E-2</v>
      </c>
      <c r="N286">
        <v>7.9502722502299894E-2</v>
      </c>
      <c r="O286">
        <v>7.9097638984422E-2</v>
      </c>
      <c r="P286">
        <v>7.8620704669043501E-2</v>
      </c>
      <c r="Q286">
        <v>7.6684766516399397E-2</v>
      </c>
      <c r="R286">
        <v>7.4944172551458701E-2</v>
      </c>
      <c r="S286">
        <v>7.3394667754293097E-2</v>
      </c>
      <c r="T286">
        <v>7.1335476710297496E-2</v>
      </c>
      <c r="U286">
        <v>7.0525852456097202E-2</v>
      </c>
      <c r="V286">
        <v>7.00651723305174E-2</v>
      </c>
      <c r="W286">
        <v>6.9811619697950397E-2</v>
      </c>
      <c r="X286">
        <v>6.97005409019789E-2</v>
      </c>
      <c r="Y286">
        <v>6.9720502163246198E-2</v>
      </c>
      <c r="Z286">
        <v>6.9883979229694707E-2</v>
      </c>
      <c r="AA286">
        <v>7.0070447208538694E-2</v>
      </c>
      <c r="AB286">
        <v>7.0286877398360204E-2</v>
      </c>
      <c r="AC286">
        <v>7.0576834950985906E-2</v>
      </c>
      <c r="AD286">
        <v>7.0931841810877597E-2</v>
      </c>
      <c r="AE286">
        <v>7.1314495441959405E-2</v>
      </c>
      <c r="AF286">
        <v>7.1722055017823402E-2</v>
      </c>
      <c r="AG286">
        <v>7.2199411946034894E-2</v>
      </c>
      <c r="AH286">
        <v>7.2721578333924994E-2</v>
      </c>
      <c r="AI286">
        <v>7.3254675008131195E-2</v>
      </c>
      <c r="AJ286">
        <v>7.3823351749506605E-2</v>
      </c>
      <c r="AK286">
        <v>7.4398029454523895E-2</v>
      </c>
      <c r="AL286">
        <v>7.4955195609271594E-2</v>
      </c>
      <c r="AM286">
        <v>7.5510386880895494E-2</v>
      </c>
      <c r="AN286">
        <v>7.6066701009648893E-2</v>
      </c>
      <c r="AO286">
        <v>7.6637666308816799E-2</v>
      </c>
      <c r="AP286">
        <v>7.7218938604054002E-2</v>
      </c>
      <c r="AQ286">
        <v>7.77785603598007E-2</v>
      </c>
      <c r="AR286">
        <v>7.8296906263293206E-2</v>
      </c>
      <c r="AS286">
        <v>7.8827637176027296E-2</v>
      </c>
    </row>
    <row r="287" spans="1:45" x14ac:dyDescent="0.3">
      <c r="A287" t="s">
        <v>768</v>
      </c>
      <c r="B287" t="s">
        <v>686</v>
      </c>
      <c r="C287" t="s">
        <v>681</v>
      </c>
      <c r="D287" t="s">
        <v>719</v>
      </c>
      <c r="E287" t="s">
        <v>20</v>
      </c>
      <c r="F287">
        <v>999</v>
      </c>
      <c r="G287">
        <v>0</v>
      </c>
      <c r="H287">
        <v>-16934.267332419098</v>
      </c>
      <c r="I287">
        <v>-416564.73075899098</v>
      </c>
      <c r="J287">
        <v>2.5237334898875599E-2</v>
      </c>
      <c r="K287">
        <v>2.3334015511758999E-2</v>
      </c>
      <c r="L287">
        <v>1.9497176424381701E-2</v>
      </c>
      <c r="M287">
        <v>1.32282821299483E-2</v>
      </c>
      <c r="N287">
        <v>1.02878963760901E-2</v>
      </c>
      <c r="O287">
        <v>9.7864264435276894E-3</v>
      </c>
      <c r="P287">
        <v>8.24133222094252E-3</v>
      </c>
      <c r="Q287">
        <v>6.98267949595416E-3</v>
      </c>
      <c r="R287">
        <v>5.9382993164935104E-3</v>
      </c>
      <c r="S287">
        <v>5.1131976791853303E-3</v>
      </c>
      <c r="T287">
        <v>4.3781748999503498E-3</v>
      </c>
      <c r="U287">
        <v>3.7641446031250799E-3</v>
      </c>
      <c r="V287">
        <v>3.25513909443173E-3</v>
      </c>
      <c r="W287">
        <v>2.8269477545462001E-3</v>
      </c>
      <c r="X287">
        <v>2.4773467952413902E-3</v>
      </c>
      <c r="Y287">
        <v>2.1047756885631901E-3</v>
      </c>
      <c r="Z287">
        <v>1.79726076121219E-3</v>
      </c>
      <c r="AA287">
        <v>1.5307150573476401E-3</v>
      </c>
      <c r="AB287">
        <v>1.3131971197746001E-3</v>
      </c>
      <c r="AC287">
        <v>1.1294807198226999E-3</v>
      </c>
      <c r="AD287">
        <v>9.8094147374294606E-4</v>
      </c>
      <c r="AE287">
        <v>8.5464297844762898E-4</v>
      </c>
      <c r="AF287">
        <v>7.4166788881281696E-4</v>
      </c>
      <c r="AG287">
        <v>6.4466857632987297E-4</v>
      </c>
      <c r="AH287">
        <v>5.6690172665139799E-4</v>
      </c>
      <c r="AI287">
        <v>4.8471969672983902E-4</v>
      </c>
      <c r="AJ287">
        <v>4.14179431210731E-4</v>
      </c>
      <c r="AK287">
        <v>3.5641810720280702E-4</v>
      </c>
      <c r="AL287">
        <v>3.0874318239160301E-4</v>
      </c>
      <c r="AM287">
        <v>2.6835491469434501E-4</v>
      </c>
      <c r="AN287">
        <v>2.3084281904043799E-4</v>
      </c>
      <c r="AO287">
        <v>2.0096497432726799E-4</v>
      </c>
      <c r="AP287">
        <v>1.7836783492208299E-4</v>
      </c>
      <c r="AQ287">
        <v>1.55731993579426E-4</v>
      </c>
      <c r="AR287">
        <v>1.36021029909572E-4</v>
      </c>
      <c r="AS287">
        <v>1.21959144866351E-4</v>
      </c>
    </row>
    <row r="288" spans="1:45" x14ac:dyDescent="0.3">
      <c r="A288" t="s">
        <v>768</v>
      </c>
      <c r="B288" t="s">
        <v>685</v>
      </c>
      <c r="C288" t="s">
        <v>681</v>
      </c>
      <c r="D288" t="s">
        <v>719</v>
      </c>
      <c r="E288" t="s">
        <v>20</v>
      </c>
      <c r="F288">
        <v>999</v>
      </c>
      <c r="G288">
        <v>0</v>
      </c>
      <c r="H288">
        <v>-16934.267332419098</v>
      </c>
      <c r="I288">
        <v>-416564.73075899098</v>
      </c>
      <c r="J288">
        <v>2.3968372907607501E-2</v>
      </c>
      <c r="K288">
        <v>2.1311012422876401E-2</v>
      </c>
      <c r="L288">
        <v>1.7016498328043399E-2</v>
      </c>
      <c r="M288">
        <v>1.0490682507417999E-2</v>
      </c>
      <c r="N288">
        <v>7.4342732105303804E-3</v>
      </c>
      <c r="O288">
        <v>6.9601246511623999E-3</v>
      </c>
      <c r="P288">
        <v>5.51859663999771E-3</v>
      </c>
      <c r="Q288">
        <v>4.3998451142156702E-3</v>
      </c>
      <c r="R288">
        <v>3.5148948770986599E-3</v>
      </c>
      <c r="S288">
        <v>2.8514325733357501E-3</v>
      </c>
      <c r="T288">
        <v>2.4203251030605801E-3</v>
      </c>
      <c r="U288">
        <v>2.0756069877796101E-3</v>
      </c>
      <c r="V288">
        <v>1.7925811371685199E-3</v>
      </c>
      <c r="W288">
        <v>1.5555371697127799E-3</v>
      </c>
      <c r="X288">
        <v>1.3665455284398199E-3</v>
      </c>
      <c r="Y288">
        <v>1.16093396499544E-3</v>
      </c>
      <c r="Z288">
        <v>9.9174519873581907E-4</v>
      </c>
      <c r="AA288">
        <v>8.4457468871618896E-4</v>
      </c>
      <c r="AB288">
        <v>7.2487057263205599E-4</v>
      </c>
      <c r="AC288">
        <v>6.2367269247789396E-4</v>
      </c>
      <c r="AD288">
        <v>5.4493583256402095E-4</v>
      </c>
      <c r="AE288">
        <v>4.7751708843800101E-4</v>
      </c>
      <c r="AF288">
        <v>4.1533598707963799E-4</v>
      </c>
      <c r="AG288">
        <v>3.61245331746836E-4</v>
      </c>
      <c r="AH288">
        <v>3.2029720924919901E-4</v>
      </c>
      <c r="AI288">
        <v>2.7558089891623598E-4</v>
      </c>
      <c r="AJ288">
        <v>2.36185331438748E-4</v>
      </c>
      <c r="AK288">
        <v>2.0433316116431899E-4</v>
      </c>
      <c r="AL288">
        <v>1.7826263465908399E-4</v>
      </c>
      <c r="AM288">
        <v>1.5615519194537799E-4</v>
      </c>
      <c r="AN288">
        <v>1.3463880424498999E-4</v>
      </c>
      <c r="AO288">
        <v>1.18015806021357E-4</v>
      </c>
      <c r="AP288">
        <v>1.0654312582704E-4</v>
      </c>
      <c r="AQ288">
        <v>9.3190141918949703E-5</v>
      </c>
      <c r="AR288">
        <v>8.2056841356283297E-5</v>
      </c>
      <c r="AS288">
        <v>7.4903529951246499E-5</v>
      </c>
    </row>
    <row r="289" spans="1:45" x14ac:dyDescent="0.3">
      <c r="A289" t="s">
        <v>768</v>
      </c>
      <c r="B289" t="s">
        <v>684</v>
      </c>
      <c r="C289" t="s">
        <v>681</v>
      </c>
      <c r="D289" t="s">
        <v>719</v>
      </c>
      <c r="E289" t="s">
        <v>20</v>
      </c>
      <c r="F289">
        <v>999</v>
      </c>
      <c r="G289">
        <v>0</v>
      </c>
      <c r="H289">
        <v>999</v>
      </c>
      <c r="I289">
        <v>999</v>
      </c>
      <c r="J289">
        <v>-1.48502294905484E-17</v>
      </c>
      <c r="K289">
        <v>1.25219230540097E-17</v>
      </c>
      <c r="L289">
        <v>-1.9659637473523599E-17</v>
      </c>
      <c r="M289">
        <v>1.8684659153222999E-17</v>
      </c>
      <c r="N289">
        <v>6.5774656832218197E-18</v>
      </c>
      <c r="O289">
        <v>-1.3686076272279E-17</v>
      </c>
      <c r="P289">
        <v>4.5620254240930103E-18</v>
      </c>
      <c r="Q289">
        <v>-2.3501343093812502E-18</v>
      </c>
      <c r="R289">
        <v>-4.9622030928731003E-18</v>
      </c>
      <c r="S289">
        <v>-5.8207660913467399E-20</v>
      </c>
      <c r="T289">
        <v>-2.02999217435718E-18</v>
      </c>
      <c r="U289">
        <v>2.11730366572738E-18</v>
      </c>
      <c r="V289">
        <v>-9.6770236268639593E-19</v>
      </c>
      <c r="W289">
        <v>-1.2514647096395501E-18</v>
      </c>
      <c r="X289">
        <v>-1.6880221664905501E-18</v>
      </c>
      <c r="Y289">
        <v>-1.52795109897852E-18</v>
      </c>
      <c r="Z289">
        <v>7.0940586738288397E-19</v>
      </c>
      <c r="AA289">
        <v>6.1118043959140795E-19</v>
      </c>
      <c r="AB289">
        <v>-1.46974343806505E-18</v>
      </c>
      <c r="AC289">
        <v>-2.6557245291769502E-19</v>
      </c>
      <c r="AD289">
        <v>2.9103830456733699E-19</v>
      </c>
      <c r="AE289">
        <v>5.4023985285311903E-19</v>
      </c>
      <c r="AF289">
        <v>-7.2759576141834297E-20</v>
      </c>
      <c r="AG289">
        <v>2.8194335754960799E-19</v>
      </c>
      <c r="AH289">
        <v>-3.94720700569451E-19</v>
      </c>
      <c r="AI289">
        <v>2.7466739993542402E-19</v>
      </c>
      <c r="AJ289">
        <v>-1.8371792975813199E-19</v>
      </c>
      <c r="AK289">
        <v>4.9112713895738101E-20</v>
      </c>
      <c r="AL289">
        <v>2.47382558882236E-19</v>
      </c>
      <c r="AM289">
        <v>-3.2378011383116198E-19</v>
      </c>
      <c r="AN289">
        <v>-2.4647306418046401E-19</v>
      </c>
      <c r="AO289">
        <v>5.8207660913467399E-20</v>
      </c>
      <c r="AP289">
        <v>1.7280399333685601E-19</v>
      </c>
      <c r="AQ289">
        <v>3.54702933691442E-20</v>
      </c>
      <c r="AR289">
        <v>-4.2291503632441199E-20</v>
      </c>
      <c r="AS289">
        <v>6.4119376474991395E-20</v>
      </c>
    </row>
    <row r="290" spans="1:45" x14ac:dyDescent="0.3">
      <c r="A290" t="s">
        <v>768</v>
      </c>
      <c r="B290" t="s">
        <v>682</v>
      </c>
      <c r="C290" t="s">
        <v>681</v>
      </c>
      <c r="D290" t="s">
        <v>719</v>
      </c>
      <c r="E290" t="s">
        <v>20</v>
      </c>
      <c r="F290">
        <v>999</v>
      </c>
      <c r="G290">
        <v>0</v>
      </c>
      <c r="H290">
        <v>999</v>
      </c>
      <c r="I290">
        <v>999</v>
      </c>
      <c r="J290">
        <v>-2.23008100874722E-17</v>
      </c>
      <c r="K290">
        <v>-7.8507582657039193E-18</v>
      </c>
      <c r="L290">
        <v>-1.4988472685217899E-18</v>
      </c>
      <c r="M290">
        <v>1.68220140039921E-17</v>
      </c>
      <c r="N290">
        <v>-1.0302755981683699E-17</v>
      </c>
      <c r="O290">
        <v>1.21508492156863E-18</v>
      </c>
      <c r="P290">
        <v>-1.4333636499941299E-18</v>
      </c>
      <c r="Q290">
        <v>5.0422386266291101E-18</v>
      </c>
      <c r="R290">
        <v>-2.47382558882236E-19</v>
      </c>
      <c r="S290">
        <v>-3.31783667206764E-18</v>
      </c>
      <c r="T290">
        <v>-1.3897079043090299E-18</v>
      </c>
      <c r="U290">
        <v>-3.2741809263825402E-19</v>
      </c>
      <c r="V290">
        <v>-2.36468622460961E-18</v>
      </c>
      <c r="W290">
        <v>-3.2014213502407101E-19</v>
      </c>
      <c r="X290">
        <v>-5.8207660913467399E-20</v>
      </c>
      <c r="Y290">
        <v>-1.09139364212751E-18</v>
      </c>
      <c r="Z290">
        <v>5.9299054555594898E-19</v>
      </c>
      <c r="AA290">
        <v>4.9476511776447296E-19</v>
      </c>
      <c r="AB290">
        <v>7.4214767664670896E-19</v>
      </c>
      <c r="AC290">
        <v>1.92812876775861E-19</v>
      </c>
      <c r="AD290">
        <v>2.9103830456733699E-19</v>
      </c>
      <c r="AE290">
        <v>-1.00044417195022E-19</v>
      </c>
      <c r="AF290">
        <v>-1.30967237055302E-19</v>
      </c>
      <c r="AG290">
        <v>-1.2551026884466399E-19</v>
      </c>
      <c r="AH290">
        <v>1.8371792975813199E-19</v>
      </c>
      <c r="AI290">
        <v>2.1645973902195701E-19</v>
      </c>
      <c r="AJ290">
        <v>1.65528035722673E-19</v>
      </c>
      <c r="AK290">
        <v>-1.8371792975813199E-19</v>
      </c>
      <c r="AL290">
        <v>7.2759576141834297E-20</v>
      </c>
      <c r="AM290">
        <v>1.4188117347657699E-19</v>
      </c>
      <c r="AN290">
        <v>-1.59161572810262E-19</v>
      </c>
      <c r="AO290">
        <v>4.3655745685100597E-20</v>
      </c>
      <c r="AP290">
        <v>1.4370016288012301E-19</v>
      </c>
      <c r="AQ290">
        <v>-2.6375346351414899E-20</v>
      </c>
      <c r="AR290">
        <v>-1.50066625792533E-20</v>
      </c>
      <c r="AS290">
        <v>6.7757355282083201E-20</v>
      </c>
    </row>
    <row r="291" spans="1:45" hidden="1" x14ac:dyDescent="0.3">
      <c r="A291" t="s">
        <v>767</v>
      </c>
      <c r="B291" t="s">
        <v>686</v>
      </c>
      <c r="C291" t="s">
        <v>681</v>
      </c>
      <c r="D291" t="s">
        <v>680</v>
      </c>
      <c r="E291" t="s">
        <v>22</v>
      </c>
      <c r="F291">
        <v>14.765247805244099</v>
      </c>
      <c r="G291">
        <v>5.64228079555396</v>
      </c>
      <c r="H291">
        <v>10.0363013029396</v>
      </c>
      <c r="I291">
        <v>246.88221070871401</v>
      </c>
      <c r="J291">
        <v>0.34761580864769998</v>
      </c>
      <c r="K291">
        <v>0.34809760228140002</v>
      </c>
      <c r="L291">
        <v>0.34749909686656799</v>
      </c>
      <c r="M291">
        <v>0.351235037151025</v>
      </c>
      <c r="N291">
        <v>0.353280364807259</v>
      </c>
      <c r="O291">
        <v>0.35281057063096999</v>
      </c>
      <c r="P291">
        <v>0.349322297597359</v>
      </c>
      <c r="Q291">
        <v>0.34715233219828201</v>
      </c>
      <c r="R291">
        <v>0.345511183090563</v>
      </c>
      <c r="S291">
        <v>0.34473137281190103</v>
      </c>
      <c r="T291">
        <v>0.34230290637863398</v>
      </c>
      <c r="U291">
        <v>0.340088290492089</v>
      </c>
      <c r="V291">
        <v>0.33869949214484601</v>
      </c>
      <c r="W291">
        <v>0.33791810389688598</v>
      </c>
      <c r="X291">
        <v>0.33826143257775299</v>
      </c>
      <c r="Y291">
        <v>0.33837658346694</v>
      </c>
      <c r="Z291">
        <v>0.33832300185134601</v>
      </c>
      <c r="AA291">
        <v>0.33722574001519201</v>
      </c>
      <c r="AB291">
        <v>0.33736074907283597</v>
      </c>
      <c r="AC291">
        <v>0.33743637155851403</v>
      </c>
      <c r="AD291">
        <v>0.33827749353437098</v>
      </c>
      <c r="AE291">
        <v>0.33937678370803598</v>
      </c>
      <c r="AF291">
        <v>0.33994124487363198</v>
      </c>
      <c r="AG291">
        <v>0.340634840914319</v>
      </c>
      <c r="AH291">
        <v>0.341592937674492</v>
      </c>
      <c r="AI291">
        <v>0.34272035619711699</v>
      </c>
      <c r="AJ291">
        <v>0.34343609979800299</v>
      </c>
      <c r="AK291">
        <v>0.34431823006685303</v>
      </c>
      <c r="AL291">
        <v>0.34531575563449401</v>
      </c>
      <c r="AM291">
        <v>0.34653278700022</v>
      </c>
      <c r="AN291">
        <v>0.34777786340953798</v>
      </c>
      <c r="AO291">
        <v>0.34910738412348002</v>
      </c>
      <c r="AP291">
        <v>0.35067920650303203</v>
      </c>
      <c r="AQ291">
        <v>0.352001071884678</v>
      </c>
      <c r="AR291">
        <v>0.35366607554642898</v>
      </c>
      <c r="AS291">
        <v>0.35528747206821398</v>
      </c>
    </row>
    <row r="292" spans="1:45" hidden="1" x14ac:dyDescent="0.3">
      <c r="A292" t="s">
        <v>767</v>
      </c>
      <c r="B292" t="s">
        <v>685</v>
      </c>
      <c r="C292" t="s">
        <v>681</v>
      </c>
      <c r="D292" t="s">
        <v>680</v>
      </c>
      <c r="E292" t="s">
        <v>22</v>
      </c>
      <c r="F292">
        <v>14.765247805244099</v>
      </c>
      <c r="G292">
        <v>5.64228079555396</v>
      </c>
      <c r="H292">
        <v>10.0363013029396</v>
      </c>
      <c r="I292">
        <v>246.88221070871401</v>
      </c>
      <c r="J292">
        <v>0.33145005299811803</v>
      </c>
      <c r="K292">
        <v>0.31475795316997801</v>
      </c>
      <c r="L292">
        <v>0.29749637496714698</v>
      </c>
      <c r="M292">
        <v>0.28404977796358399</v>
      </c>
      <c r="N292">
        <v>0.26938772167826702</v>
      </c>
      <c r="O292">
        <v>0.25328412837983999</v>
      </c>
      <c r="P292">
        <v>0.23575821403274899</v>
      </c>
      <c r="Q292">
        <v>0.21990768777974701</v>
      </c>
      <c r="R292">
        <v>0.20508751494305</v>
      </c>
      <c r="S292">
        <v>0.19137957191893501</v>
      </c>
      <c r="T292">
        <v>0.177355931916133</v>
      </c>
      <c r="U292">
        <v>0.16408334747275</v>
      </c>
      <c r="V292">
        <v>0.15749368889471499</v>
      </c>
      <c r="W292">
        <v>0.15713034699286901</v>
      </c>
      <c r="X292">
        <v>0.157289993232994</v>
      </c>
      <c r="Y292">
        <v>0.15734353786101399</v>
      </c>
      <c r="Z292">
        <v>0.157318622658917</v>
      </c>
      <c r="AA292">
        <v>0.15680840100737301</v>
      </c>
      <c r="AB292">
        <v>0.156871179591386</v>
      </c>
      <c r="AC292">
        <v>0.15690634369558101</v>
      </c>
      <c r="AD292">
        <v>0.157297461503138</v>
      </c>
      <c r="AE292">
        <v>0.157808626322192</v>
      </c>
      <c r="AF292">
        <v>0.15807109813945</v>
      </c>
      <c r="AG292">
        <v>0.158393617073148</v>
      </c>
      <c r="AH292">
        <v>0.158839127611479</v>
      </c>
      <c r="AI292">
        <v>0.15936337198200301</v>
      </c>
      <c r="AJ292">
        <v>0.15969618942820701</v>
      </c>
      <c r="AK292">
        <v>0.16010637590131699</v>
      </c>
      <c r="AL292">
        <v>0.16057022065177601</v>
      </c>
      <c r="AM292">
        <v>0.161136134577643</v>
      </c>
      <c r="AN292">
        <v>0.16171508931837</v>
      </c>
      <c r="AO292">
        <v>0.16233331026808201</v>
      </c>
      <c r="AP292">
        <v>0.16306420036559999</v>
      </c>
      <c r="AQ292">
        <v>0.163678861621391</v>
      </c>
      <c r="AR292">
        <v>0.164453080581838</v>
      </c>
      <c r="AS292">
        <v>0.16520702242497401</v>
      </c>
    </row>
    <row r="293" spans="1:45" hidden="1" x14ac:dyDescent="0.3">
      <c r="A293" t="s">
        <v>767</v>
      </c>
      <c r="B293" t="s">
        <v>684</v>
      </c>
      <c r="C293" t="s">
        <v>681</v>
      </c>
      <c r="D293" t="s">
        <v>680</v>
      </c>
      <c r="E293" t="s">
        <v>22</v>
      </c>
      <c r="F293">
        <v>14.765247805244099</v>
      </c>
      <c r="G293">
        <v>5.64228079555396</v>
      </c>
      <c r="H293">
        <v>107.799119591649</v>
      </c>
      <c r="I293">
        <v>2651.74232557609</v>
      </c>
      <c r="J293">
        <v>0.34761580864769998</v>
      </c>
      <c r="K293">
        <v>0.34809760228140002</v>
      </c>
      <c r="L293">
        <v>0.31313751920641097</v>
      </c>
      <c r="M293">
        <v>0.28464517233479503</v>
      </c>
      <c r="N293">
        <v>0.25724090917498399</v>
      </c>
      <c r="O293">
        <v>0.23054258553550599</v>
      </c>
      <c r="P293">
        <v>0.20490017400691901</v>
      </c>
      <c r="Q293">
        <v>0.18282230493801599</v>
      </c>
      <c r="R293">
        <v>0.163461903676627</v>
      </c>
      <c r="S293">
        <v>0.146579849742945</v>
      </c>
      <c r="T293">
        <v>0.130833693478805</v>
      </c>
      <c r="U293">
        <v>0.116915474284234</v>
      </c>
      <c r="V293">
        <v>0.10951455297153601</v>
      </c>
      <c r="W293">
        <v>9.7923854109652902E-2</v>
      </c>
      <c r="X293">
        <v>8.7844712437744596E-2</v>
      </c>
      <c r="Y293">
        <v>7.8732228789386405E-2</v>
      </c>
      <c r="Z293">
        <v>7.0517645474237695E-2</v>
      </c>
      <c r="AA293">
        <v>6.9000118276290601E-2</v>
      </c>
      <c r="AB293">
        <v>6.1851665972027001E-2</v>
      </c>
      <c r="AC293">
        <v>5.5423435585519397E-2</v>
      </c>
      <c r="AD293">
        <v>4.97732100485095E-2</v>
      </c>
      <c r="AE293">
        <v>4.4740227570996098E-2</v>
      </c>
      <c r="AF293">
        <v>4.0155042898488702E-2</v>
      </c>
      <c r="AG293">
        <v>3.9494846370636202E-2</v>
      </c>
      <c r="AH293">
        <v>3.5492436269897197E-2</v>
      </c>
      <c r="AI293">
        <v>3.19079114047933E-2</v>
      </c>
      <c r="AJ293">
        <v>2.8647188490597799E-2</v>
      </c>
      <c r="AK293">
        <v>2.8183927806278701E-2</v>
      </c>
      <c r="AL293">
        <v>2.53170934677013E-2</v>
      </c>
      <c r="AM293">
        <v>2.2749095859544401E-2</v>
      </c>
      <c r="AN293">
        <v>2.2385441909810601E-2</v>
      </c>
      <c r="AO293">
        <v>2.0108819549718701E-2</v>
      </c>
      <c r="AP293">
        <v>1.8072216576408201E-2</v>
      </c>
      <c r="AQ293">
        <v>1.62291703156658E-2</v>
      </c>
      <c r="AR293">
        <v>1.4627956824206799E-2</v>
      </c>
      <c r="AS293">
        <v>1.3207246443907699E-2</v>
      </c>
    </row>
    <row r="294" spans="1:45" hidden="1" x14ac:dyDescent="0.3">
      <c r="A294" t="s">
        <v>767</v>
      </c>
      <c r="B294" t="s">
        <v>682</v>
      </c>
      <c r="C294" t="s">
        <v>681</v>
      </c>
      <c r="D294" t="s">
        <v>680</v>
      </c>
      <c r="E294" t="s">
        <v>22</v>
      </c>
      <c r="F294">
        <v>14.765247805244099</v>
      </c>
      <c r="G294">
        <v>5.64228079555396</v>
      </c>
      <c r="H294">
        <v>107.799119591649</v>
      </c>
      <c r="I294">
        <v>2651.74232557609</v>
      </c>
      <c r="J294">
        <v>0.33145005299811803</v>
      </c>
      <c r="K294">
        <v>0.31475795316997801</v>
      </c>
      <c r="L294">
        <v>0.26983185313998198</v>
      </c>
      <c r="M294">
        <v>0.23320146770536901</v>
      </c>
      <c r="N294">
        <v>0.19985856127749299</v>
      </c>
      <c r="O294">
        <v>0.16939655046815</v>
      </c>
      <c r="P294">
        <v>0.141944804132488</v>
      </c>
      <c r="Q294">
        <v>0.118997517077195</v>
      </c>
      <c r="R294">
        <v>9.9582059396727499E-2</v>
      </c>
      <c r="S294">
        <v>8.3217307695658396E-2</v>
      </c>
      <c r="T294">
        <v>6.8882355125161498E-2</v>
      </c>
      <c r="U294">
        <v>5.6766005798470701E-2</v>
      </c>
      <c r="V294">
        <v>5.0923757889093001E-2</v>
      </c>
      <c r="W294">
        <v>4.5534136815067003E-2</v>
      </c>
      <c r="X294">
        <v>4.0847382805638398E-2</v>
      </c>
      <c r="Y294">
        <v>3.66101202822008E-2</v>
      </c>
      <c r="Z294">
        <v>3.2790377238469101E-2</v>
      </c>
      <c r="AA294">
        <v>3.2084734147925099E-2</v>
      </c>
      <c r="AB294">
        <v>2.8760737066745801E-2</v>
      </c>
      <c r="AC294">
        <v>2.5771639828291001E-2</v>
      </c>
      <c r="AD294">
        <v>2.3144311227130201E-2</v>
      </c>
      <c r="AE294">
        <v>2.0803997778455E-2</v>
      </c>
      <c r="AF294">
        <v>1.8671908226847798E-2</v>
      </c>
      <c r="AG294">
        <v>1.8364919911310201E-2</v>
      </c>
      <c r="AH294">
        <v>1.6503817825673599E-2</v>
      </c>
      <c r="AI294">
        <v>1.4837030431440801E-2</v>
      </c>
      <c r="AJ294">
        <v>1.3320809438701399E-2</v>
      </c>
      <c r="AK294">
        <v>1.31053953746553E-2</v>
      </c>
      <c r="AL294">
        <v>1.17723307379965E-2</v>
      </c>
      <c r="AM294">
        <v>1.0578223791392401E-2</v>
      </c>
      <c r="AN294">
        <v>1.04091263957571E-2</v>
      </c>
      <c r="AO294">
        <v>9.3505075846083106E-3</v>
      </c>
      <c r="AP294">
        <v>8.4034966722226802E-3</v>
      </c>
      <c r="AQ294">
        <v>7.5464887311426001E-3</v>
      </c>
      <c r="AR294">
        <v>6.8019319032569499E-3</v>
      </c>
      <c r="AS294">
        <v>6.1413081827210898E-3</v>
      </c>
    </row>
    <row r="295" spans="1:45" hidden="1" x14ac:dyDescent="0.3">
      <c r="A295" t="s">
        <v>766</v>
      </c>
      <c r="B295" t="s">
        <v>686</v>
      </c>
      <c r="C295" t="s">
        <v>681</v>
      </c>
      <c r="D295" t="s">
        <v>680</v>
      </c>
      <c r="E295" t="s">
        <v>8</v>
      </c>
      <c r="F295">
        <v>-12.6524793941825</v>
      </c>
      <c r="G295">
        <v>37.970430483732798</v>
      </c>
      <c r="H295">
        <v>67.569137548024301</v>
      </c>
      <c r="I295">
        <v>1662.12806391647</v>
      </c>
      <c r="J295">
        <v>0.15270801092460001</v>
      </c>
      <c r="K295">
        <v>0.15510862378170001</v>
      </c>
      <c r="L295">
        <v>0.15652499479005699</v>
      </c>
      <c r="M295">
        <v>0.16015547403706701</v>
      </c>
      <c r="N295">
        <v>0.163385616187498</v>
      </c>
      <c r="O295">
        <v>0.165530771495047</v>
      </c>
      <c r="P295">
        <v>0.166143181823113</v>
      </c>
      <c r="Q295">
        <v>0.16688982911118799</v>
      </c>
      <c r="R295">
        <v>0.167823492135909</v>
      </c>
      <c r="S295">
        <v>0.169211041881251</v>
      </c>
      <c r="T295">
        <v>0.16984907023541901</v>
      </c>
      <c r="U295">
        <v>0.17057510534215101</v>
      </c>
      <c r="V295">
        <v>0.17157860057194199</v>
      </c>
      <c r="W295">
        <v>0.172913169934896</v>
      </c>
      <c r="X295">
        <v>0.17485182108595901</v>
      </c>
      <c r="Y295">
        <v>0.176715062129461</v>
      </c>
      <c r="Z295">
        <v>0.178448928647537</v>
      </c>
      <c r="AA295">
        <v>0.17954374803627501</v>
      </c>
      <c r="AB295">
        <v>0.18127373239119299</v>
      </c>
      <c r="AC295">
        <v>0.18298459406423401</v>
      </c>
      <c r="AD295">
        <v>0.185139565513667</v>
      </c>
      <c r="AE295">
        <v>0.1874666828488</v>
      </c>
      <c r="AF295">
        <v>0.18945395934911299</v>
      </c>
      <c r="AG295">
        <v>0.19146547565467101</v>
      </c>
      <c r="AH295">
        <v>0.193623239196444</v>
      </c>
      <c r="AI295">
        <v>0.195853662684569</v>
      </c>
      <c r="AJ295">
        <v>0.197859265328966</v>
      </c>
      <c r="AK295">
        <v>0.199927052105247</v>
      </c>
      <c r="AL295">
        <v>0.20203563616182099</v>
      </c>
      <c r="AM295">
        <v>0.204220211383941</v>
      </c>
      <c r="AN295">
        <v>0.20636280146018901</v>
      </c>
      <c r="AO295">
        <v>0.20850626039286899</v>
      </c>
      <c r="AP295">
        <v>0.21076552485906799</v>
      </c>
      <c r="AQ295">
        <v>0.212839197099122</v>
      </c>
      <c r="AR295">
        <v>0.215081153866573</v>
      </c>
      <c r="AS295">
        <v>0.217300727140988</v>
      </c>
    </row>
    <row r="296" spans="1:45" hidden="1" x14ac:dyDescent="0.3">
      <c r="A296" t="s">
        <v>766</v>
      </c>
      <c r="B296" t="s">
        <v>685</v>
      </c>
      <c r="C296" t="s">
        <v>681</v>
      </c>
      <c r="D296" t="s">
        <v>680</v>
      </c>
      <c r="E296" t="s">
        <v>8</v>
      </c>
      <c r="F296">
        <v>-12.6524793941825</v>
      </c>
      <c r="G296">
        <v>37.970430483732798</v>
      </c>
      <c r="H296">
        <v>67.569137548024301</v>
      </c>
      <c r="I296">
        <v>1662.12806391647</v>
      </c>
      <c r="J296">
        <v>0.15270801092460001</v>
      </c>
      <c r="K296">
        <v>0.15510862378170001</v>
      </c>
      <c r="L296">
        <v>0.15577000578567801</v>
      </c>
      <c r="M296">
        <v>0.15867796575106999</v>
      </c>
      <c r="N296">
        <v>0.16117487972130001</v>
      </c>
      <c r="O296">
        <v>0.16260025457913099</v>
      </c>
      <c r="P296">
        <v>0.16253261127986299</v>
      </c>
      <c r="Q296">
        <v>0.162613882497918</v>
      </c>
      <c r="R296">
        <v>0.16289428496057401</v>
      </c>
      <c r="S296">
        <v>0.16362880994609499</v>
      </c>
      <c r="T296">
        <v>0.16365211477365799</v>
      </c>
      <c r="U296">
        <v>0.16377665343172901</v>
      </c>
      <c r="V296">
        <v>0.16418213924128899</v>
      </c>
      <c r="W296">
        <v>0.164916266553045</v>
      </c>
      <c r="X296">
        <v>0.16649432054184701</v>
      </c>
      <c r="Y296">
        <v>0.16825870957435701</v>
      </c>
      <c r="Z296">
        <v>0.169900000047915</v>
      </c>
      <c r="AA296">
        <v>0.17093302070171401</v>
      </c>
      <c r="AB296">
        <v>0.17257086598501201</v>
      </c>
      <c r="AC296">
        <v>0.17419058737113899</v>
      </c>
      <c r="AD296">
        <v>0.17623314409881399</v>
      </c>
      <c r="AE296">
        <v>0.17843961623035701</v>
      </c>
      <c r="AF296">
        <v>0.18032266992679899</v>
      </c>
      <c r="AG296">
        <v>0.182228860379168</v>
      </c>
      <c r="AH296">
        <v>0.18427429572187301</v>
      </c>
      <c r="AI296">
        <v>0.18638891831016399</v>
      </c>
      <c r="AJ296">
        <v>0.18829355021128</v>
      </c>
      <c r="AK296">
        <v>0.19026136765232199</v>
      </c>
      <c r="AL296">
        <v>0.192268009986059</v>
      </c>
      <c r="AM296">
        <v>0.19434696961219899</v>
      </c>
      <c r="AN296">
        <v>0.19638597390867801</v>
      </c>
      <c r="AO296">
        <v>0.19842580505580901</v>
      </c>
      <c r="AP296">
        <v>0.20057584299565201</v>
      </c>
      <c r="AQ296">
        <v>0.202549261361506</v>
      </c>
      <c r="AR296">
        <v>0.204682828361574</v>
      </c>
      <c r="AS296">
        <v>0.20679509402221299</v>
      </c>
    </row>
    <row r="297" spans="1:45" hidden="1" x14ac:dyDescent="0.3">
      <c r="A297" t="s">
        <v>766</v>
      </c>
      <c r="B297" t="s">
        <v>684</v>
      </c>
      <c r="C297" t="s">
        <v>681</v>
      </c>
      <c r="D297" t="s">
        <v>680</v>
      </c>
      <c r="E297" t="s">
        <v>8</v>
      </c>
      <c r="F297">
        <v>-12.6524793941825</v>
      </c>
      <c r="G297">
        <v>37.970430483732798</v>
      </c>
      <c r="H297">
        <v>69.089954266228304</v>
      </c>
      <c r="I297">
        <v>1699.53851843949</v>
      </c>
      <c r="J297">
        <v>5.0902670308199997E-2</v>
      </c>
      <c r="K297">
        <v>5.1702874593900001E-2</v>
      </c>
      <c r="L297">
        <v>0.15294317443365699</v>
      </c>
      <c r="M297">
        <v>0.15650662905127499</v>
      </c>
      <c r="N297">
        <v>0.159679899470243</v>
      </c>
      <c r="O297">
        <v>0.161791697967021</v>
      </c>
      <c r="P297">
        <v>0.16240697964952799</v>
      </c>
      <c r="Q297">
        <v>0.163152155501296</v>
      </c>
      <c r="R297">
        <v>0.164078034382664</v>
      </c>
      <c r="S297">
        <v>0.16544472379835701</v>
      </c>
      <c r="T297">
        <v>0.16607551651941199</v>
      </c>
      <c r="U297">
        <v>0.166790550770513</v>
      </c>
      <c r="V297">
        <v>0.167777012915588</v>
      </c>
      <c r="W297">
        <v>0.169086593720747</v>
      </c>
      <c r="X297">
        <v>0.17098920211724</v>
      </c>
      <c r="Y297">
        <v>0.17281197329188999</v>
      </c>
      <c r="Z297">
        <v>0.174511397511524</v>
      </c>
      <c r="AA297">
        <v>0.17558404120038901</v>
      </c>
      <c r="AB297">
        <v>0.17727716924901299</v>
      </c>
      <c r="AC297">
        <v>0.178951278935786</v>
      </c>
      <c r="AD297">
        <v>0.18105892517715599</v>
      </c>
      <c r="AE297">
        <v>0.18333533309469499</v>
      </c>
      <c r="AF297">
        <v>0.18527867676589599</v>
      </c>
      <c r="AG297">
        <v>0.187245974110231</v>
      </c>
      <c r="AH297">
        <v>0.18935784728436</v>
      </c>
      <c r="AI297">
        <v>0.19154251297235</v>
      </c>
      <c r="AJ297">
        <v>0.19350603183830001</v>
      </c>
      <c r="AK297">
        <v>0.195528830638586</v>
      </c>
      <c r="AL297">
        <v>0.19759469998252899</v>
      </c>
      <c r="AM297">
        <v>0.19973188589749299</v>
      </c>
      <c r="AN297">
        <v>0.20183102484450999</v>
      </c>
      <c r="AO297">
        <v>0.203927886247183</v>
      </c>
      <c r="AP297">
        <v>0.20614006683375199</v>
      </c>
      <c r="AQ297">
        <v>0.20817038364262</v>
      </c>
      <c r="AR297">
        <v>0.21036354015987499</v>
      </c>
      <c r="AS297">
        <v>0.21253791055695101</v>
      </c>
    </row>
    <row r="298" spans="1:45" hidden="1" x14ac:dyDescent="0.3">
      <c r="A298" t="s">
        <v>766</v>
      </c>
      <c r="B298" t="s">
        <v>682</v>
      </c>
      <c r="C298" t="s">
        <v>681</v>
      </c>
      <c r="D298" t="s">
        <v>680</v>
      </c>
      <c r="E298" t="s">
        <v>8</v>
      </c>
      <c r="F298">
        <v>-12.6524793941825</v>
      </c>
      <c r="G298">
        <v>37.970430483732798</v>
      </c>
      <c r="H298">
        <v>69.089954266228304</v>
      </c>
      <c r="I298">
        <v>1699.53851843949</v>
      </c>
      <c r="J298">
        <v>5.0902670308199997E-2</v>
      </c>
      <c r="K298">
        <v>5.1702874593900001E-2</v>
      </c>
      <c r="L298">
        <v>0.152205462126769</v>
      </c>
      <c r="M298">
        <v>0.15506273159109901</v>
      </c>
      <c r="N298">
        <v>0.157519200690969</v>
      </c>
      <c r="O298">
        <v>0.15892724030213601</v>
      </c>
      <c r="P298">
        <v>0.158877448578265</v>
      </c>
      <c r="Q298">
        <v>0.15897181840254701</v>
      </c>
      <c r="R298">
        <v>0.15925869608670401</v>
      </c>
      <c r="S298">
        <v>0.159986625653495</v>
      </c>
      <c r="T298">
        <v>0.160016153077568</v>
      </c>
      <c r="U298">
        <v>0.16014288142356201</v>
      </c>
      <c r="V298">
        <v>0.16054440783958801</v>
      </c>
      <c r="W298">
        <v>0.161266668543361</v>
      </c>
      <c r="X298">
        <v>0.162816344590621</v>
      </c>
      <c r="Y298">
        <v>0.16454241247318399</v>
      </c>
      <c r="Z298">
        <v>0.166151117507987</v>
      </c>
      <c r="AA298">
        <v>0.16716322795468799</v>
      </c>
      <c r="AB298">
        <v>0.16876618418059799</v>
      </c>
      <c r="AC298">
        <v>0.17035111439881101</v>
      </c>
      <c r="AD298">
        <v>0.17234881418039599</v>
      </c>
      <c r="AE298">
        <v>0.17450720653242099</v>
      </c>
      <c r="AF298">
        <v>0.17634862969085299</v>
      </c>
      <c r="AG298">
        <v>0.178212916268328</v>
      </c>
      <c r="AH298">
        <v>0.180214855718759</v>
      </c>
      <c r="AI298">
        <v>0.182286107735393</v>
      </c>
      <c r="AJ298">
        <v>0.184150778390646</v>
      </c>
      <c r="AK298">
        <v>0.18607578284689899</v>
      </c>
      <c r="AL298">
        <v>0.18804177555589299</v>
      </c>
      <c r="AM298">
        <v>0.19007563696097299</v>
      </c>
      <c r="AN298">
        <v>0.192073290818949</v>
      </c>
      <c r="AO298">
        <v>0.194068777242866</v>
      </c>
      <c r="AP298">
        <v>0.19617400762296</v>
      </c>
      <c r="AQ298">
        <v>0.19810616662173</v>
      </c>
      <c r="AR298">
        <v>0.20019329267123001</v>
      </c>
      <c r="AS298">
        <v>0.20226254083536799</v>
      </c>
    </row>
    <row r="299" spans="1:45" hidden="1" x14ac:dyDescent="0.3">
      <c r="A299" t="s">
        <v>765</v>
      </c>
      <c r="B299" t="s">
        <v>686</v>
      </c>
      <c r="C299" t="s">
        <v>681</v>
      </c>
      <c r="D299" t="s">
        <v>680</v>
      </c>
      <c r="E299" t="s">
        <v>8</v>
      </c>
      <c r="F299">
        <v>999</v>
      </c>
      <c r="G299">
        <v>999</v>
      </c>
      <c r="H299">
        <v>999</v>
      </c>
      <c r="I299">
        <v>999</v>
      </c>
      <c r="J299">
        <v>4.2634766501000003E-3</v>
      </c>
      <c r="K299">
        <v>4.3876371917000003E-3</v>
      </c>
      <c r="L299">
        <v>4.4683740431999998E-3</v>
      </c>
      <c r="M299">
        <v>4.6076080066000001E-3</v>
      </c>
      <c r="N299">
        <v>4.7646105177999998E-3</v>
      </c>
      <c r="O299">
        <v>4.9084169480000002E-3</v>
      </c>
      <c r="P299">
        <v>5.0395794472999998E-3</v>
      </c>
      <c r="Q299">
        <v>5.1711882333000002E-3</v>
      </c>
      <c r="R299">
        <v>5.3038650195000002E-3</v>
      </c>
      <c r="S299">
        <v>5.4387245689999997E-3</v>
      </c>
      <c r="T299">
        <v>5.5809959724999999E-3</v>
      </c>
      <c r="U299">
        <v>5.7362477310999999E-3</v>
      </c>
      <c r="V299">
        <v>5.9054600275000001E-3</v>
      </c>
      <c r="W299">
        <v>6.0738561296999997E-3</v>
      </c>
      <c r="X299">
        <v>6.2385439269000004E-3</v>
      </c>
      <c r="Y299">
        <v>6.4056403494999999E-3</v>
      </c>
      <c r="Z299">
        <v>6.5748208899000004E-3</v>
      </c>
      <c r="AA299">
        <v>6.7387124670000003E-3</v>
      </c>
      <c r="AB299">
        <v>6.8985340263999998E-3</v>
      </c>
      <c r="AC299">
        <v>7.0561757068999999E-3</v>
      </c>
      <c r="AD299">
        <v>7.2096291885999997E-3</v>
      </c>
      <c r="AE299">
        <v>7.3551356490999999E-3</v>
      </c>
      <c r="AF299">
        <v>7.5048692625E-3</v>
      </c>
      <c r="AG299">
        <v>7.6602695621000002E-3</v>
      </c>
      <c r="AH299">
        <v>7.8186326217999993E-3</v>
      </c>
      <c r="AI299">
        <v>7.9787239451999999E-3</v>
      </c>
      <c r="AJ299">
        <v>8.1418291180000001E-3</v>
      </c>
      <c r="AK299">
        <v>8.3045214429000001E-3</v>
      </c>
      <c r="AL299">
        <v>8.4664771722000008E-3</v>
      </c>
      <c r="AM299">
        <v>8.6280533681000002E-3</v>
      </c>
      <c r="AN299">
        <v>8.7888579583000007E-3</v>
      </c>
      <c r="AO299">
        <v>8.9490909067999995E-3</v>
      </c>
      <c r="AP299">
        <v>9.1076408908999998E-3</v>
      </c>
      <c r="AQ299">
        <v>9.2626006920999999E-3</v>
      </c>
      <c r="AR299">
        <v>9.4133511156000004E-3</v>
      </c>
      <c r="AS299">
        <v>9.5636422668999993E-3</v>
      </c>
    </row>
    <row r="300" spans="1:45" hidden="1" x14ac:dyDescent="0.3">
      <c r="A300" t="s">
        <v>765</v>
      </c>
      <c r="B300" t="s">
        <v>685</v>
      </c>
      <c r="C300" t="s">
        <v>681</v>
      </c>
      <c r="D300" t="s">
        <v>680</v>
      </c>
      <c r="E300" t="s">
        <v>8</v>
      </c>
      <c r="F300">
        <v>999</v>
      </c>
      <c r="G300">
        <v>999</v>
      </c>
      <c r="H300">
        <v>999</v>
      </c>
      <c r="I300">
        <v>999</v>
      </c>
      <c r="J300">
        <v>4.2634766501000003E-3</v>
      </c>
      <c r="K300">
        <v>4.3876371917000003E-3</v>
      </c>
      <c r="L300">
        <v>5.1399861589072702E-3</v>
      </c>
      <c r="M300">
        <v>5.9117715380811696E-3</v>
      </c>
      <c r="N300">
        <v>6.7174888799349597E-3</v>
      </c>
      <c r="O300">
        <v>7.5032088759044002E-3</v>
      </c>
      <c r="P300">
        <v>8.2342327536017706E-3</v>
      </c>
      <c r="Q300">
        <v>8.9551722483502596E-3</v>
      </c>
      <c r="R300">
        <v>9.6760562619741391E-3</v>
      </c>
      <c r="S300">
        <v>1.0429469507041799E-2</v>
      </c>
      <c r="T300">
        <v>1.11688037692525E-2</v>
      </c>
      <c r="U300">
        <v>1.1936389422995099E-2</v>
      </c>
      <c r="V300">
        <v>1.27430502224265E-2</v>
      </c>
      <c r="W300">
        <v>1.3558458541448101E-2</v>
      </c>
      <c r="X300">
        <v>1.41555603931915E-2</v>
      </c>
      <c r="Y300">
        <v>1.44958990525702E-2</v>
      </c>
      <c r="Z300">
        <v>1.48245480812602E-2</v>
      </c>
      <c r="AA300">
        <v>1.5089619108334401E-2</v>
      </c>
      <c r="AB300">
        <v>1.5393559463146E-2</v>
      </c>
      <c r="AC300">
        <v>1.5676255866425799E-2</v>
      </c>
      <c r="AD300">
        <v>1.5975769275289001E-2</v>
      </c>
      <c r="AE300">
        <v>1.62721155721068E-2</v>
      </c>
      <c r="AF300">
        <v>1.6554823621900101E-2</v>
      </c>
      <c r="AG300">
        <v>1.68572575998359E-2</v>
      </c>
      <c r="AH300">
        <v>1.71738252058086E-2</v>
      </c>
      <c r="AI300">
        <v>1.7487385836230902E-2</v>
      </c>
      <c r="AJ300">
        <v>1.7797236616441201E-2</v>
      </c>
      <c r="AK300">
        <v>1.80978081800823E-2</v>
      </c>
      <c r="AL300">
        <v>1.8400251023005E-2</v>
      </c>
      <c r="AM300">
        <v>1.87028619742045E-2</v>
      </c>
      <c r="AN300">
        <v>1.9003204181084199E-2</v>
      </c>
      <c r="AO300">
        <v>1.9306649583288E-2</v>
      </c>
      <c r="AP300">
        <v>1.9621635762978502E-2</v>
      </c>
      <c r="AQ300">
        <v>1.99182291210705E-2</v>
      </c>
      <c r="AR300">
        <v>2.0214083787669899E-2</v>
      </c>
      <c r="AS300">
        <v>2.0498214206854701E-2</v>
      </c>
    </row>
    <row r="301" spans="1:45" hidden="1" x14ac:dyDescent="0.3">
      <c r="A301" t="s">
        <v>765</v>
      </c>
      <c r="B301" t="s">
        <v>684</v>
      </c>
      <c r="C301" t="s">
        <v>681</v>
      </c>
      <c r="D301" t="s">
        <v>680</v>
      </c>
      <c r="E301" t="s">
        <v>8</v>
      </c>
      <c r="F301">
        <v>999</v>
      </c>
      <c r="G301">
        <v>999</v>
      </c>
      <c r="H301">
        <v>999</v>
      </c>
      <c r="I301">
        <v>999</v>
      </c>
      <c r="J301">
        <v>8.5269533002000004E-4</v>
      </c>
      <c r="K301">
        <v>8.7752743833999995E-4</v>
      </c>
      <c r="L301">
        <v>2.31221031165974E-4</v>
      </c>
      <c r="M301">
        <v>2.4450190524686602E-4</v>
      </c>
      <c r="N301">
        <v>2.5976562882177098E-4</v>
      </c>
      <c r="O301">
        <v>2.75840248686335E-4</v>
      </c>
      <c r="P301">
        <v>2.9269076322047501E-4</v>
      </c>
      <c r="Q301">
        <v>3.1009817783464699E-4</v>
      </c>
      <c r="R301">
        <v>3.2814470121428802E-4</v>
      </c>
      <c r="S301">
        <v>3.4591346821008501E-4</v>
      </c>
      <c r="T301">
        <v>3.6313578640942E-4</v>
      </c>
      <c r="U301">
        <v>3.7991592208808399E-4</v>
      </c>
      <c r="V301">
        <v>3.97339987586879E-4</v>
      </c>
      <c r="W301">
        <v>4.1434365773833901E-4</v>
      </c>
      <c r="X301">
        <v>4.37568017927235E-4</v>
      </c>
      <c r="Y301">
        <v>4.5063314984484598E-4</v>
      </c>
      <c r="Z301">
        <v>4.7048773028103601E-4</v>
      </c>
      <c r="AA301">
        <v>4.8896292772361604E-4</v>
      </c>
      <c r="AB301">
        <v>5.0695306587828903E-4</v>
      </c>
      <c r="AC301">
        <v>5.2458946229769503E-4</v>
      </c>
      <c r="AD301">
        <v>5.4209729825827101E-4</v>
      </c>
      <c r="AE301">
        <v>5.5884468735111501E-4</v>
      </c>
      <c r="AF301">
        <v>5.7550828133236601E-4</v>
      </c>
      <c r="AG301">
        <v>5.9274254827210995E-4</v>
      </c>
      <c r="AH301">
        <v>6.10983721058257E-4</v>
      </c>
      <c r="AI301">
        <v>6.3146846221279402E-4</v>
      </c>
      <c r="AJ301">
        <v>6.5100724480602603E-4</v>
      </c>
      <c r="AK301">
        <v>6.7196080394661998E-4</v>
      </c>
      <c r="AL301">
        <v>6.9401816621609603E-4</v>
      </c>
      <c r="AM301">
        <v>7.1714218641631396E-4</v>
      </c>
      <c r="AN301">
        <v>7.3212636439616802E-4</v>
      </c>
      <c r="AO301">
        <v>7.5614377812244498E-4</v>
      </c>
      <c r="AP301">
        <v>7.7986223584597695E-4</v>
      </c>
      <c r="AQ301">
        <v>8.0353557545585601E-4</v>
      </c>
      <c r="AR301">
        <v>8.2849542413820096E-4</v>
      </c>
      <c r="AS301">
        <v>8.5523581369715803E-4</v>
      </c>
    </row>
    <row r="302" spans="1:45" hidden="1" x14ac:dyDescent="0.3">
      <c r="A302" t="s">
        <v>765</v>
      </c>
      <c r="B302" t="s">
        <v>682</v>
      </c>
      <c r="C302" t="s">
        <v>681</v>
      </c>
      <c r="D302" t="s">
        <v>680</v>
      </c>
      <c r="E302" t="s">
        <v>8</v>
      </c>
      <c r="F302">
        <v>999</v>
      </c>
      <c r="G302">
        <v>999</v>
      </c>
      <c r="H302">
        <v>999</v>
      </c>
      <c r="I302">
        <v>999</v>
      </c>
      <c r="J302">
        <v>8.5269533002000004E-4</v>
      </c>
      <c r="K302">
        <v>8.7752743833999995E-4</v>
      </c>
      <c r="L302">
        <v>2.6597435406062201E-4</v>
      </c>
      <c r="M302">
        <v>3.1429886035221402E-4</v>
      </c>
      <c r="N302">
        <v>3.6747639734474699E-4</v>
      </c>
      <c r="O302">
        <v>4.2346535250064698E-4</v>
      </c>
      <c r="P302">
        <v>4.8039730856934502E-4</v>
      </c>
      <c r="Q302">
        <v>5.3929577182029796E-4</v>
      </c>
      <c r="R302">
        <v>6.0084167074698201E-4</v>
      </c>
      <c r="S302">
        <v>6.6525705659031202E-4</v>
      </c>
      <c r="T302">
        <v>7.2823137888810305E-4</v>
      </c>
      <c r="U302">
        <v>7.9156787733096197E-4</v>
      </c>
      <c r="V302">
        <v>8.5787287253415103E-4</v>
      </c>
      <c r="W302">
        <v>9.2485682493752904E-4</v>
      </c>
      <c r="X302">
        <v>9.9253070957649103E-4</v>
      </c>
      <c r="Y302">
        <v>1.0194489993384499E-3</v>
      </c>
      <c r="Z302">
        <v>1.06053940509086E-3</v>
      </c>
      <c r="AA302">
        <v>1.09466200850905E-3</v>
      </c>
      <c r="AB302">
        <v>1.13102410858354E-3</v>
      </c>
      <c r="AC302">
        <v>1.1652822536117699E-3</v>
      </c>
      <c r="AD302">
        <v>1.20109902231229E-3</v>
      </c>
      <c r="AE302">
        <v>1.23625848259356E-3</v>
      </c>
      <c r="AF302">
        <v>1.2694286161728399E-3</v>
      </c>
      <c r="AG302">
        <v>1.3043464764804899E-3</v>
      </c>
      <c r="AH302">
        <v>1.34201405191757E-3</v>
      </c>
      <c r="AI302">
        <v>1.38401355272243E-3</v>
      </c>
      <c r="AJ302">
        <v>1.4230377236996499E-3</v>
      </c>
      <c r="AK302">
        <v>1.4643851326023099E-3</v>
      </c>
      <c r="AL302">
        <v>1.50831428623382E-3</v>
      </c>
      <c r="AM302">
        <v>1.55453504471973E-3</v>
      </c>
      <c r="AN302">
        <v>1.58299825244489E-3</v>
      </c>
      <c r="AO302">
        <v>1.63129452039657E-3</v>
      </c>
      <c r="AP302">
        <v>1.68014669444874E-3</v>
      </c>
      <c r="AQ302">
        <v>1.72791705384769E-3</v>
      </c>
      <c r="AR302">
        <v>1.7790981888986101E-3</v>
      </c>
      <c r="AS302">
        <v>1.8330680317489999E-3</v>
      </c>
    </row>
    <row r="303" spans="1:45" x14ac:dyDescent="0.3">
      <c r="A303" t="s">
        <v>764</v>
      </c>
      <c r="B303" t="s">
        <v>686</v>
      </c>
      <c r="C303" t="s">
        <v>681</v>
      </c>
      <c r="D303" t="s">
        <v>719</v>
      </c>
      <c r="E303" t="s">
        <v>22</v>
      </c>
      <c r="F303">
        <v>-27.783787755668499</v>
      </c>
      <c r="G303">
        <v>999</v>
      </c>
      <c r="H303">
        <v>614.71550753977203</v>
      </c>
      <c r="I303">
        <v>15121.3391677986</v>
      </c>
      <c r="J303">
        <v>1.6997072700000001E-2</v>
      </c>
      <c r="K303">
        <v>1.6789534799999999E-2</v>
      </c>
      <c r="L303">
        <v>1.6415748160014201E-2</v>
      </c>
      <c r="M303">
        <v>1.6050723877983199E-2</v>
      </c>
      <c r="N303">
        <v>1.5634331772947999E-2</v>
      </c>
      <c r="O303">
        <v>1.5300191426475099E-2</v>
      </c>
      <c r="P303">
        <v>1.49143074938643E-2</v>
      </c>
      <c r="Q303">
        <v>1.4597436136620401E-2</v>
      </c>
      <c r="R303">
        <v>1.4323737594843599E-2</v>
      </c>
      <c r="S303">
        <v>1.40855282114922E-2</v>
      </c>
      <c r="T303">
        <v>1.3801246255147901E-2</v>
      </c>
      <c r="U303">
        <v>1.35421574085842E-2</v>
      </c>
      <c r="V303">
        <v>1.33261130960652E-2</v>
      </c>
      <c r="W303">
        <v>1.3138393757535199E-2</v>
      </c>
      <c r="X303">
        <v>1.3001617950020999E-2</v>
      </c>
      <c r="Y303">
        <v>1.2856922671901701E-2</v>
      </c>
      <c r="Z303">
        <v>1.26988252467835E-2</v>
      </c>
      <c r="AA303">
        <v>1.2499616636162499E-2</v>
      </c>
      <c r="AB303">
        <v>1.2344048338424601E-2</v>
      </c>
      <c r="AC303">
        <v>1.21802474839689E-2</v>
      </c>
      <c r="AD303">
        <v>1.2040225808490001E-2</v>
      </c>
      <c r="AE303">
        <v>1.1909890676133E-2</v>
      </c>
      <c r="AF303">
        <v>1.1758127164559999E-2</v>
      </c>
      <c r="AG303">
        <v>1.1622495586427599E-2</v>
      </c>
      <c r="AH303">
        <v>1.14971240960674E-2</v>
      </c>
      <c r="AI303">
        <v>1.13824876159342E-2</v>
      </c>
      <c r="AJ303">
        <v>1.12537249056208E-2</v>
      </c>
      <c r="AK303">
        <v>1.1132426140688E-2</v>
      </c>
      <c r="AL303">
        <v>1.1014817974925799E-2</v>
      </c>
      <c r="AM303">
        <v>1.09019191828316E-2</v>
      </c>
      <c r="AN303">
        <v>1.07889471269321E-2</v>
      </c>
      <c r="AO303">
        <v>1.0681308640024201E-2</v>
      </c>
      <c r="AP303">
        <v>1.0578809997944E-2</v>
      </c>
      <c r="AQ303">
        <v>1.0471071103501499E-2</v>
      </c>
      <c r="AR303">
        <v>1.0379238381050201E-2</v>
      </c>
      <c r="AS303">
        <v>1.0280477713879599E-2</v>
      </c>
    </row>
    <row r="304" spans="1:45" x14ac:dyDescent="0.3">
      <c r="A304" t="s">
        <v>764</v>
      </c>
      <c r="B304" t="s">
        <v>685</v>
      </c>
      <c r="C304" t="s">
        <v>681</v>
      </c>
      <c r="D304" t="s">
        <v>719</v>
      </c>
      <c r="E304" t="s">
        <v>22</v>
      </c>
      <c r="F304">
        <v>-27.783787755668499</v>
      </c>
      <c r="G304">
        <v>999</v>
      </c>
      <c r="H304">
        <v>614.71550753977203</v>
      </c>
      <c r="I304">
        <v>15121.3391677986</v>
      </c>
      <c r="J304">
        <v>1.6997072700000001E-2</v>
      </c>
      <c r="K304">
        <v>1.6789534799999999E-2</v>
      </c>
      <c r="L304">
        <v>1.5341244109959899E-2</v>
      </c>
      <c r="M304">
        <v>1.4109632337726699E-2</v>
      </c>
      <c r="N304">
        <v>1.29535792798061E-2</v>
      </c>
      <c r="O304">
        <v>1.19960282842225E-2</v>
      </c>
      <c r="P304">
        <v>1.10923539001008E-2</v>
      </c>
      <c r="Q304">
        <v>1.0301633222745301E-2</v>
      </c>
      <c r="R304">
        <v>9.5935481134941693E-3</v>
      </c>
      <c r="S304">
        <v>8.9726226443450803E-3</v>
      </c>
      <c r="T304">
        <v>8.3714811901478003E-3</v>
      </c>
      <c r="U304">
        <v>7.8384000737414302E-3</v>
      </c>
      <c r="V304">
        <v>7.35797453711303E-3</v>
      </c>
      <c r="W304">
        <v>7.0223995468784396E-3</v>
      </c>
      <c r="X304">
        <v>6.9674808919522801E-3</v>
      </c>
      <c r="Y304">
        <v>6.9101747807143298E-3</v>
      </c>
      <c r="Z304">
        <v>6.83953259562467E-3</v>
      </c>
      <c r="AA304">
        <v>6.7428371670900404E-3</v>
      </c>
      <c r="AB304">
        <v>6.6741993776623697E-3</v>
      </c>
      <c r="AC304">
        <v>6.6028387438533996E-3</v>
      </c>
      <c r="AD304">
        <v>6.5602173608381598E-3</v>
      </c>
      <c r="AE304">
        <v>6.5246797418838697E-3</v>
      </c>
      <c r="AF304">
        <v>6.4765919762039704E-3</v>
      </c>
      <c r="AG304">
        <v>6.4371843403783404E-3</v>
      </c>
      <c r="AH304">
        <v>6.4206651604206003E-3</v>
      </c>
      <c r="AI304">
        <v>6.4035656481848504E-3</v>
      </c>
      <c r="AJ304">
        <v>6.3790046321314702E-3</v>
      </c>
      <c r="AK304">
        <v>6.3489019017943602E-3</v>
      </c>
      <c r="AL304">
        <v>6.3239679633820796E-3</v>
      </c>
      <c r="AM304">
        <v>6.3006817492979603E-3</v>
      </c>
      <c r="AN304">
        <v>6.2748080308113099E-3</v>
      </c>
      <c r="AO304">
        <v>6.2488086258009404E-3</v>
      </c>
      <c r="AP304">
        <v>6.2241475870279802E-3</v>
      </c>
      <c r="AQ304">
        <v>6.1948462932910004E-3</v>
      </c>
      <c r="AR304">
        <v>6.1749274479549702E-3</v>
      </c>
      <c r="AS304">
        <v>6.1500315534141602E-3</v>
      </c>
    </row>
    <row r="305" spans="1:45" x14ac:dyDescent="0.3">
      <c r="A305" t="s">
        <v>764</v>
      </c>
      <c r="B305" t="s">
        <v>684</v>
      </c>
      <c r="C305" t="s">
        <v>681</v>
      </c>
      <c r="D305" t="s">
        <v>719</v>
      </c>
      <c r="E305" t="s">
        <v>22</v>
      </c>
      <c r="F305">
        <v>-27.783787755668499</v>
      </c>
      <c r="G305">
        <v>999</v>
      </c>
      <c r="H305">
        <v>999</v>
      </c>
      <c r="I305">
        <v>999</v>
      </c>
      <c r="J305">
        <v>2.83284545E-3</v>
      </c>
      <c r="K305">
        <v>-1.80443748831749E-18</v>
      </c>
      <c r="L305">
        <v>-2.6229827199131299E-18</v>
      </c>
      <c r="M305">
        <v>5.1659299060702295E-19</v>
      </c>
      <c r="N305">
        <v>3.3542164601385598E-18</v>
      </c>
      <c r="O305">
        <v>-2.6702764444053199E-18</v>
      </c>
      <c r="P305">
        <v>1.9208528101444201E-18</v>
      </c>
      <c r="Q305">
        <v>2.6702764444053199E-18</v>
      </c>
      <c r="R305">
        <v>2.4447217583656299E-18</v>
      </c>
      <c r="S305">
        <v>-1.74622982740402E-19</v>
      </c>
      <c r="T305">
        <v>-2.1100277081131899E-18</v>
      </c>
      <c r="U305">
        <v>1.04773789644241E-18</v>
      </c>
      <c r="V305">
        <v>2.6484485715627699E-18</v>
      </c>
      <c r="W305">
        <v>8.8766682893037801E-19</v>
      </c>
      <c r="X305">
        <v>2.895831130445E-18</v>
      </c>
      <c r="Y305">
        <v>-6.1118043959140795E-19</v>
      </c>
      <c r="Z305">
        <v>-6.0390448197722404E-18</v>
      </c>
      <c r="AA305">
        <v>1.3969838619232201E-18</v>
      </c>
      <c r="AB305">
        <v>-2.7648638933897001E-19</v>
      </c>
      <c r="AC305">
        <v>-8.2509359344840101E-18</v>
      </c>
      <c r="AD305">
        <v>-3.27418092638254E-18</v>
      </c>
      <c r="AE305">
        <v>-2.7066562324762302E-18</v>
      </c>
      <c r="AF305">
        <v>7.8289303928613705E-18</v>
      </c>
      <c r="AG305">
        <v>-1.6298145055770901E-18</v>
      </c>
      <c r="AH305">
        <v>1.33877620100975E-18</v>
      </c>
      <c r="AI305">
        <v>-3.7252902984619097E-18</v>
      </c>
      <c r="AJ305">
        <v>-6.8685039877891501E-18</v>
      </c>
      <c r="AK305">
        <v>-8.4401108324527697E-19</v>
      </c>
      <c r="AL305">
        <v>7.21774995326996E-18</v>
      </c>
      <c r="AM305">
        <v>5.4715201258659398E-18</v>
      </c>
      <c r="AN305">
        <v>5.5006239563226703E-18</v>
      </c>
      <c r="AO305">
        <v>1.2660166248679199E-18</v>
      </c>
      <c r="AP305">
        <v>9.3132257461547896E-19</v>
      </c>
      <c r="AQ305">
        <v>8.1490725278854397E-19</v>
      </c>
      <c r="AR305">
        <v>-9.6042640507221196E-18</v>
      </c>
      <c r="AS305">
        <v>6.83940015733242E-19</v>
      </c>
    </row>
    <row r="306" spans="1:45" x14ac:dyDescent="0.3">
      <c r="A306" t="s">
        <v>764</v>
      </c>
      <c r="B306" t="s">
        <v>682</v>
      </c>
      <c r="C306" t="s">
        <v>681</v>
      </c>
      <c r="D306" t="s">
        <v>719</v>
      </c>
      <c r="E306" t="s">
        <v>22</v>
      </c>
      <c r="F306">
        <v>-27.783787755668499</v>
      </c>
      <c r="G306">
        <v>999</v>
      </c>
      <c r="H306">
        <v>999</v>
      </c>
      <c r="I306">
        <v>999</v>
      </c>
      <c r="J306">
        <v>2.83284545E-3</v>
      </c>
      <c r="K306">
        <v>-1.80443748831749E-18</v>
      </c>
      <c r="L306">
        <v>1.6771082300692799E-18</v>
      </c>
      <c r="M306">
        <v>3.8962753023952199E-18</v>
      </c>
      <c r="N306">
        <v>-4.1582097765058298E-18</v>
      </c>
      <c r="O306">
        <v>4.8821675591170796E-18</v>
      </c>
      <c r="P306">
        <v>-2.23008100874722E-18</v>
      </c>
      <c r="Q306">
        <v>2.6193447411060298E-19</v>
      </c>
      <c r="R306">
        <v>-3.31783667206764E-18</v>
      </c>
      <c r="S306">
        <v>1.59343471750617E-18</v>
      </c>
      <c r="T306">
        <v>2.6120687834918501E-18</v>
      </c>
      <c r="U306">
        <v>-1.13504938781261E-18</v>
      </c>
      <c r="V306">
        <v>-2.2919266484677799E-18</v>
      </c>
      <c r="W306">
        <v>-3.92901711165905E-19</v>
      </c>
      <c r="X306">
        <v>1.14960130304098E-18</v>
      </c>
      <c r="Y306">
        <v>-2.53930920735002E-18</v>
      </c>
      <c r="Z306">
        <v>-2.6193447411060298E-19</v>
      </c>
      <c r="AA306">
        <v>1.68074620887637E-18</v>
      </c>
      <c r="AB306">
        <v>-9.3132257461547896E-19</v>
      </c>
      <c r="AC306">
        <v>4.3655745685100597E-20</v>
      </c>
      <c r="AD306">
        <v>3.7107383832335502E-18</v>
      </c>
      <c r="AE306">
        <v>1.17870513349772E-18</v>
      </c>
      <c r="AF306">
        <v>-3.4924596548080403E-18</v>
      </c>
      <c r="AG306">
        <v>-4.1472958400845499E-19</v>
      </c>
      <c r="AH306">
        <v>-2.45199771597981E-18</v>
      </c>
      <c r="AI306">
        <v>-3.2014213502407099E-18</v>
      </c>
      <c r="AJ306">
        <v>1.0550138540565999E-18</v>
      </c>
      <c r="AK306">
        <v>3.1068339012563202E-18</v>
      </c>
      <c r="AL306">
        <v>-1.6079866327345401E-18</v>
      </c>
      <c r="AM306">
        <v>2.5320332497358299E-18</v>
      </c>
      <c r="AN306">
        <v>-1.2660166248679199E-18</v>
      </c>
      <c r="AO306">
        <v>-4.5838532969355599E-19</v>
      </c>
      <c r="AP306">
        <v>-4.14729584008455E-18</v>
      </c>
      <c r="AQ306">
        <v>-5.2677933126688001E-18</v>
      </c>
      <c r="AR306">
        <v>-5.8935256674885796E-19</v>
      </c>
      <c r="AS306">
        <v>-3.6379788070917099E-19</v>
      </c>
    </row>
    <row r="307" spans="1:45" hidden="1" x14ac:dyDescent="0.3">
      <c r="A307" t="s">
        <v>763</v>
      </c>
      <c r="B307" t="s">
        <v>686</v>
      </c>
      <c r="C307" t="s">
        <v>681</v>
      </c>
      <c r="D307" t="s">
        <v>680</v>
      </c>
      <c r="E307" t="s">
        <v>20</v>
      </c>
      <c r="F307">
        <v>82.665842172460202</v>
      </c>
      <c r="G307">
        <v>0</v>
      </c>
      <c r="H307">
        <v>999</v>
      </c>
      <c r="I307">
        <v>999</v>
      </c>
      <c r="J307">
        <v>0.16736308403399999</v>
      </c>
      <c r="K307">
        <v>0.1070706584223</v>
      </c>
      <c r="L307">
        <v>9.1647991647872698E-2</v>
      </c>
      <c r="M307">
        <v>8.4251945083835197E-2</v>
      </c>
      <c r="N307">
        <v>7.6498745917844002E-2</v>
      </c>
      <c r="O307">
        <v>6.5754951994492897E-2</v>
      </c>
      <c r="P307">
        <v>6.0611971446839802E-2</v>
      </c>
      <c r="Q307">
        <v>5.75209680172011E-2</v>
      </c>
      <c r="R307">
        <v>5.5538135202848601E-2</v>
      </c>
      <c r="S307">
        <v>5.4627213856871998E-2</v>
      </c>
      <c r="T307">
        <v>5.4024366036263302E-2</v>
      </c>
      <c r="U307">
        <v>5.3492781381375303E-2</v>
      </c>
      <c r="V307">
        <v>5.3277133614401298E-2</v>
      </c>
      <c r="W307">
        <v>5.32607717407707E-2</v>
      </c>
      <c r="X307">
        <v>5.3450424874967498E-2</v>
      </c>
      <c r="Y307">
        <v>5.3668015223659798E-2</v>
      </c>
      <c r="Z307">
        <v>5.3843054644051903E-2</v>
      </c>
      <c r="AA307">
        <v>5.3827495425434399E-2</v>
      </c>
      <c r="AB307">
        <v>5.4002796094309503E-2</v>
      </c>
      <c r="AC307">
        <v>5.4180990672116701E-2</v>
      </c>
      <c r="AD307">
        <v>5.4589877560362599E-2</v>
      </c>
      <c r="AE307">
        <v>5.5059270543691703E-2</v>
      </c>
      <c r="AF307">
        <v>5.54442398572794E-2</v>
      </c>
      <c r="AG307">
        <v>5.5851807954587697E-2</v>
      </c>
      <c r="AH307">
        <v>5.6319679782168598E-2</v>
      </c>
      <c r="AI307">
        <v>5.60142903681069E-2</v>
      </c>
      <c r="AJ307">
        <v>5.5727729131503499E-2</v>
      </c>
      <c r="AK307">
        <v>5.5532268402628003E-2</v>
      </c>
      <c r="AL307">
        <v>5.54325887785364E-2</v>
      </c>
      <c r="AM307">
        <v>5.5407642479213898E-2</v>
      </c>
      <c r="AN307">
        <v>5.5412805220795197E-2</v>
      </c>
      <c r="AO307">
        <v>5.5457852311117897E-2</v>
      </c>
      <c r="AP307">
        <v>5.55687954387898E-2</v>
      </c>
      <c r="AQ307">
        <v>5.5663672517681402E-2</v>
      </c>
      <c r="AR307">
        <v>5.5831580590349303E-2</v>
      </c>
      <c r="AS307">
        <v>5.6020753266133601E-2</v>
      </c>
    </row>
    <row r="308" spans="1:45" hidden="1" x14ac:dyDescent="0.3">
      <c r="A308" t="s">
        <v>763</v>
      </c>
      <c r="B308" t="s">
        <v>685</v>
      </c>
      <c r="C308" t="s">
        <v>681</v>
      </c>
      <c r="D308" t="s">
        <v>680</v>
      </c>
      <c r="E308" t="s">
        <v>20</v>
      </c>
      <c r="F308">
        <v>82.665842172460202</v>
      </c>
      <c r="G308">
        <v>0</v>
      </c>
      <c r="H308">
        <v>999</v>
      </c>
      <c r="I308">
        <v>999</v>
      </c>
      <c r="J308">
        <v>0.16736308403399999</v>
      </c>
      <c r="K308">
        <v>4.5784943839296301E-2</v>
      </c>
      <c r="L308">
        <v>4.3364068186159802E-2</v>
      </c>
      <c r="M308">
        <v>4.3361184678787502E-2</v>
      </c>
      <c r="N308">
        <v>4.4605343737522798E-2</v>
      </c>
      <c r="O308">
        <v>4.9785102227966602E-2</v>
      </c>
      <c r="P308">
        <v>5.4172327994498802E-2</v>
      </c>
      <c r="Q308">
        <v>5.8760667359633499E-2</v>
      </c>
      <c r="R308">
        <v>6.2510084336597702E-2</v>
      </c>
      <c r="S308">
        <v>6.4439112156387604E-2</v>
      </c>
      <c r="T308">
        <v>6.4806828860524204E-2</v>
      </c>
      <c r="U308">
        <v>6.5163786131584897E-2</v>
      </c>
      <c r="V308">
        <v>6.5886501257741106E-2</v>
      </c>
      <c r="W308">
        <v>6.6851193993555394E-2</v>
      </c>
      <c r="X308">
        <v>6.8086688267772005E-2</v>
      </c>
      <c r="Y308">
        <v>6.9688721282107097E-2</v>
      </c>
      <c r="Z308">
        <v>7.1024549205780205E-2</v>
      </c>
      <c r="AA308">
        <v>7.2099341771470302E-2</v>
      </c>
      <c r="AB308">
        <v>7.3425135207350195E-2</v>
      </c>
      <c r="AC308">
        <v>7.4747359979886699E-2</v>
      </c>
      <c r="AD308">
        <v>7.6354753957996804E-2</v>
      </c>
      <c r="AE308">
        <v>7.80441698781386E-2</v>
      </c>
      <c r="AF308">
        <v>7.96136782724291E-2</v>
      </c>
      <c r="AG308">
        <v>8.1215540903822894E-2</v>
      </c>
      <c r="AH308">
        <v>8.2908653039395402E-2</v>
      </c>
      <c r="AI308">
        <v>8.29258727858809E-2</v>
      </c>
      <c r="AJ308">
        <v>8.4227638712814704E-2</v>
      </c>
      <c r="AK308">
        <v>8.5642581134628901E-2</v>
      </c>
      <c r="AL308">
        <v>8.7185970131291604E-2</v>
      </c>
      <c r="AM308">
        <v>8.8835337666657299E-2</v>
      </c>
      <c r="AN308">
        <v>9.0524032183618E-2</v>
      </c>
      <c r="AO308">
        <v>9.2268257258339703E-2</v>
      </c>
      <c r="AP308">
        <v>9.3713811667416796E-2</v>
      </c>
      <c r="AQ308">
        <v>9.4898476348461297E-2</v>
      </c>
      <c r="AR308">
        <v>9.6191276229463704E-2</v>
      </c>
      <c r="AS308">
        <v>9.7510365569681803E-2</v>
      </c>
    </row>
    <row r="309" spans="1:45" hidden="1" x14ac:dyDescent="0.3">
      <c r="A309" t="s">
        <v>763</v>
      </c>
      <c r="B309" t="s">
        <v>684</v>
      </c>
      <c r="C309" t="s">
        <v>681</v>
      </c>
      <c r="D309" t="s">
        <v>680</v>
      </c>
      <c r="E309" t="s">
        <v>20</v>
      </c>
      <c r="F309">
        <v>82.665842172460202</v>
      </c>
      <c r="G309">
        <v>0</v>
      </c>
      <c r="H309">
        <v>999</v>
      </c>
      <c r="I309">
        <v>999</v>
      </c>
      <c r="J309">
        <v>2.1923967978350001E-2</v>
      </c>
      <c r="K309">
        <v>6.8813328780898506E-2</v>
      </c>
      <c r="L309">
        <v>5.9071205411571397E-2</v>
      </c>
      <c r="M309">
        <v>5.3772913048551099E-2</v>
      </c>
      <c r="N309">
        <v>4.83374808522192E-2</v>
      </c>
      <c r="O309">
        <v>3.9897241646391003E-2</v>
      </c>
      <c r="P309">
        <v>3.4825999029479297E-2</v>
      </c>
      <c r="Q309">
        <v>3.1012256919056201E-2</v>
      </c>
      <c r="R309">
        <v>2.8009014238164098E-2</v>
      </c>
      <c r="S309">
        <v>2.5963931801691299E-2</v>
      </c>
      <c r="T309">
        <v>2.4914349948934399E-2</v>
      </c>
      <c r="U309">
        <v>2.3318371732690701E-2</v>
      </c>
      <c r="V309">
        <v>2.2010178339131999E-2</v>
      </c>
      <c r="W309">
        <v>2.1680364209690401E-2</v>
      </c>
      <c r="X309">
        <v>2.0713934021547399E-2</v>
      </c>
      <c r="Y309">
        <v>1.98830984084791E-2</v>
      </c>
      <c r="Z309">
        <v>1.9668270001174E-2</v>
      </c>
      <c r="AA309">
        <v>1.9394807012792399E-2</v>
      </c>
      <c r="AB309">
        <v>1.9196821876013501E-2</v>
      </c>
      <c r="AC309">
        <v>1.90028764632173E-2</v>
      </c>
      <c r="AD309">
        <v>1.8889222036550999E-2</v>
      </c>
      <c r="AE309">
        <v>1.8801416218756702E-2</v>
      </c>
      <c r="AF309">
        <v>1.8689164493854299E-2</v>
      </c>
      <c r="AG309">
        <v>1.85006590089105E-2</v>
      </c>
      <c r="AH309">
        <v>1.8429180571211901E-2</v>
      </c>
      <c r="AI309">
        <v>1.80374270077053E-2</v>
      </c>
      <c r="AJ309">
        <v>1.7756947216999702E-2</v>
      </c>
      <c r="AK309">
        <v>1.7511215573568599E-2</v>
      </c>
      <c r="AL309">
        <v>1.7251980889490301E-2</v>
      </c>
      <c r="AM309">
        <v>1.69144702625788E-2</v>
      </c>
      <c r="AN309">
        <v>1.6601334431173301E-2</v>
      </c>
      <c r="AO309">
        <v>1.6343553031033801E-2</v>
      </c>
      <c r="AP309">
        <v>1.6167139390608199E-2</v>
      </c>
      <c r="AQ309">
        <v>1.5899742286303802E-2</v>
      </c>
      <c r="AR309">
        <v>1.5677264151578999E-2</v>
      </c>
      <c r="AS309">
        <v>1.54809643939352E-2</v>
      </c>
    </row>
    <row r="310" spans="1:45" hidden="1" x14ac:dyDescent="0.3">
      <c r="A310" t="s">
        <v>763</v>
      </c>
      <c r="B310" t="s">
        <v>682</v>
      </c>
      <c r="C310" t="s">
        <v>681</v>
      </c>
      <c r="D310" t="s">
        <v>680</v>
      </c>
      <c r="E310" t="s">
        <v>20</v>
      </c>
      <c r="F310">
        <v>82.665842172460202</v>
      </c>
      <c r="G310">
        <v>0</v>
      </c>
      <c r="H310">
        <v>999</v>
      </c>
      <c r="I310">
        <v>999</v>
      </c>
      <c r="J310">
        <v>2.1923967978350001E-2</v>
      </c>
      <c r="K310">
        <v>3.0275501174687001E-2</v>
      </c>
      <c r="L310">
        <v>2.8721481740217599E-2</v>
      </c>
      <c r="M310">
        <v>2.81747984112353E-2</v>
      </c>
      <c r="N310">
        <v>2.8436362437899401E-2</v>
      </c>
      <c r="O310">
        <v>2.9888595943653101E-2</v>
      </c>
      <c r="P310">
        <v>3.05390647148783E-2</v>
      </c>
      <c r="Q310">
        <v>3.1151935335440899E-2</v>
      </c>
      <c r="R310">
        <v>3.1285349172027799E-2</v>
      </c>
      <c r="S310">
        <v>3.06091373811819E-2</v>
      </c>
      <c r="T310">
        <v>2.98820197874376E-2</v>
      </c>
      <c r="U310">
        <v>2.8434593880884401E-2</v>
      </c>
      <c r="V310">
        <v>2.7288381830644099E-2</v>
      </c>
      <c r="W310">
        <v>2.72779999232407E-2</v>
      </c>
      <c r="X310">
        <v>2.6495975039677901E-2</v>
      </c>
      <c r="Y310">
        <v>2.5959890602421098E-2</v>
      </c>
      <c r="Z310">
        <v>2.6087253926499399E-2</v>
      </c>
      <c r="AA310">
        <v>2.6123970009220999E-2</v>
      </c>
      <c r="AB310">
        <v>2.6251063522809301E-2</v>
      </c>
      <c r="AC310">
        <v>2.6371731221464498E-2</v>
      </c>
      <c r="AD310">
        <v>2.65840615856969E-2</v>
      </c>
      <c r="AE310">
        <v>2.6823341868516998E-2</v>
      </c>
      <c r="AF310">
        <v>2.7019219722550902E-2</v>
      </c>
      <c r="AG310">
        <v>2.70801033651893E-2</v>
      </c>
      <c r="AH310">
        <v>2.7318175992925901E-2</v>
      </c>
      <c r="AI310">
        <v>2.6917127649913299E-2</v>
      </c>
      <c r="AJ310">
        <v>2.7057976413854101E-2</v>
      </c>
      <c r="AK310">
        <v>2.7233630552224199E-2</v>
      </c>
      <c r="AL310">
        <v>2.7358656547076299E-2</v>
      </c>
      <c r="AM310">
        <v>2.7309765638494E-2</v>
      </c>
      <c r="AN310">
        <v>2.72783534578693E-2</v>
      </c>
      <c r="AO310">
        <v>2.7326330116740499E-2</v>
      </c>
      <c r="AP310">
        <v>2.7375594612948102E-2</v>
      </c>
      <c r="AQ310">
        <v>2.7236712488927999E-2</v>
      </c>
      <c r="AR310">
        <v>2.7158118688754701E-2</v>
      </c>
      <c r="AS310">
        <v>2.71112344726986E-2</v>
      </c>
    </row>
    <row r="311" spans="1:45" hidden="1" x14ac:dyDescent="0.3">
      <c r="A311" t="s">
        <v>762</v>
      </c>
      <c r="B311" t="s">
        <v>686</v>
      </c>
      <c r="C311" t="s">
        <v>681</v>
      </c>
      <c r="D311" t="s">
        <v>680</v>
      </c>
      <c r="E311" t="s">
        <v>752</v>
      </c>
      <c r="F311">
        <v>999</v>
      </c>
      <c r="G311">
        <v>0</v>
      </c>
      <c r="H311">
        <v>0</v>
      </c>
      <c r="I311">
        <v>0</v>
      </c>
      <c r="J311">
        <v>3.9926123253899999E-2</v>
      </c>
      <c r="K311">
        <v>3.5450916686399998E-2</v>
      </c>
      <c r="L311">
        <v>3.0864490219999999E-2</v>
      </c>
      <c r="M311">
        <v>4.2364122931200003E-2</v>
      </c>
      <c r="N311">
        <v>4.1254045845499999E-2</v>
      </c>
      <c r="O311">
        <v>3.8108384627699998E-2</v>
      </c>
      <c r="P311">
        <v>3.7378483517699998E-2</v>
      </c>
      <c r="Q311">
        <v>3.66296025425E-2</v>
      </c>
      <c r="R311">
        <v>3.5873518520600001E-2</v>
      </c>
      <c r="S311">
        <v>3.5101485193500002E-2</v>
      </c>
      <c r="T311">
        <v>3.4355910732100002E-2</v>
      </c>
      <c r="U311">
        <v>3.3642795996499997E-2</v>
      </c>
      <c r="V311">
        <v>3.3001484161499998E-2</v>
      </c>
      <c r="W311">
        <v>3.2374765238699997E-2</v>
      </c>
      <c r="X311">
        <v>3.1752899728600001E-2</v>
      </c>
      <c r="Y311">
        <v>3.11367959264E-2</v>
      </c>
      <c r="Z311">
        <v>3.0542312140299999E-2</v>
      </c>
      <c r="AA311">
        <v>2.9943245477800001E-2</v>
      </c>
      <c r="AB311">
        <v>2.9330334907700002E-2</v>
      </c>
      <c r="AC311">
        <v>2.8737638974400001E-2</v>
      </c>
      <c r="AD311">
        <v>2.8157363921499999E-2</v>
      </c>
      <c r="AE311">
        <v>2.7576338183099999E-2</v>
      </c>
      <c r="AF311">
        <v>2.70166089207E-2</v>
      </c>
      <c r="AG311">
        <v>2.6484206008299999E-2</v>
      </c>
      <c r="AH311">
        <v>2.5962978376499999E-2</v>
      </c>
      <c r="AI311">
        <v>2.5444418689900002E-2</v>
      </c>
      <c r="AJ311">
        <v>2.4941118925099998E-2</v>
      </c>
      <c r="AK311">
        <v>2.4460050609999999E-2</v>
      </c>
      <c r="AL311">
        <v>2.3982397654499998E-2</v>
      </c>
      <c r="AM311">
        <v>2.3514802897E-2</v>
      </c>
      <c r="AN311">
        <v>2.3061399658400001E-2</v>
      </c>
      <c r="AO311">
        <v>2.26180329352E-2</v>
      </c>
      <c r="AP311">
        <v>2.2173401430699999E-2</v>
      </c>
      <c r="AQ311">
        <v>2.1740471361700001E-2</v>
      </c>
      <c r="AR311">
        <v>2.12988906785E-2</v>
      </c>
      <c r="AS311">
        <v>2.08763079437E-2</v>
      </c>
    </row>
    <row r="312" spans="1:45" hidden="1" x14ac:dyDescent="0.3">
      <c r="A312" t="s">
        <v>762</v>
      </c>
      <c r="B312" t="s">
        <v>685</v>
      </c>
      <c r="C312" t="s">
        <v>681</v>
      </c>
      <c r="D312" t="s">
        <v>680</v>
      </c>
      <c r="E312" t="s">
        <v>752</v>
      </c>
      <c r="F312">
        <v>999</v>
      </c>
      <c r="G312">
        <v>0</v>
      </c>
      <c r="H312">
        <v>0</v>
      </c>
      <c r="I312">
        <v>0</v>
      </c>
      <c r="J312">
        <v>3.9748673817216001E-2</v>
      </c>
      <c r="K312">
        <v>3.5103342716337402E-2</v>
      </c>
      <c r="L312">
        <v>3.0398584450265002E-2</v>
      </c>
      <c r="M312">
        <v>4.1502447892414501E-2</v>
      </c>
      <c r="N312">
        <v>4.0202033378503498E-2</v>
      </c>
      <c r="O312">
        <v>3.7003439565822499E-2</v>
      </c>
      <c r="P312">
        <v>3.6185135608206999E-2</v>
      </c>
      <c r="Q312">
        <v>3.5371089389257503E-2</v>
      </c>
      <c r="R312">
        <v>3.4570053171300297E-2</v>
      </c>
      <c r="S312">
        <v>3.3770746695741601E-2</v>
      </c>
      <c r="T312">
        <v>3.3011245059761302E-2</v>
      </c>
      <c r="U312">
        <v>3.2295446376606203E-2</v>
      </c>
      <c r="V312">
        <v>3.1659093716088597E-2</v>
      </c>
      <c r="W312">
        <v>3.1045399937315601E-2</v>
      </c>
      <c r="X312">
        <v>3.0443496942803901E-2</v>
      </c>
      <c r="Y312">
        <v>2.98530486307995E-2</v>
      </c>
      <c r="Z312">
        <v>2.92883079569555E-2</v>
      </c>
      <c r="AA312">
        <v>2.87233193028721E-2</v>
      </c>
      <c r="AB312">
        <v>2.8148256493033701E-2</v>
      </c>
      <c r="AC312">
        <v>2.7595092751703802E-2</v>
      </c>
      <c r="AD312">
        <v>2.70557810965413E-2</v>
      </c>
      <c r="AE312">
        <v>2.65514290484124E-2</v>
      </c>
      <c r="AF312">
        <v>2.6062708129634401E-2</v>
      </c>
      <c r="AG312">
        <v>2.5595858404076102E-2</v>
      </c>
      <c r="AH312">
        <v>2.5135657287453501E-2</v>
      </c>
      <c r="AI312">
        <v>2.46741615691011E-2</v>
      </c>
      <c r="AJ312">
        <v>2.42238488254157E-2</v>
      </c>
      <c r="AK312">
        <v>2.3791787095343499E-2</v>
      </c>
      <c r="AL312">
        <v>2.33599445973941E-2</v>
      </c>
      <c r="AM312">
        <v>2.2935001906987301E-2</v>
      </c>
      <c r="AN312">
        <v>2.2521209239156102E-2</v>
      </c>
      <c r="AO312">
        <v>2.21147181914731E-2</v>
      </c>
      <c r="AP312">
        <v>2.1704652008675201E-2</v>
      </c>
      <c r="AQ312">
        <v>2.1303854014274301E-2</v>
      </c>
      <c r="AR312">
        <v>2.0892529116847601E-2</v>
      </c>
      <c r="AS312">
        <v>2.0497923793825201E-2</v>
      </c>
    </row>
    <row r="313" spans="1:45" hidden="1" x14ac:dyDescent="0.3">
      <c r="A313" t="s">
        <v>762</v>
      </c>
      <c r="B313" t="s">
        <v>684</v>
      </c>
      <c r="C313" t="s">
        <v>681</v>
      </c>
      <c r="D313" t="s">
        <v>680</v>
      </c>
      <c r="E313" t="s">
        <v>752</v>
      </c>
      <c r="F313">
        <v>999</v>
      </c>
      <c r="G313">
        <v>0</v>
      </c>
      <c r="H313">
        <v>0</v>
      </c>
      <c r="I313">
        <v>0</v>
      </c>
      <c r="J313">
        <v>6.0328916342216102E-4</v>
      </c>
      <c r="K313">
        <v>5.4130357855332204E-4</v>
      </c>
      <c r="L313">
        <v>2.64341625143761E-4</v>
      </c>
      <c r="M313">
        <v>2.8165794852470002E-4</v>
      </c>
      <c r="N313">
        <v>2.3611423848202701E-4</v>
      </c>
      <c r="O313">
        <v>1.9236266199693599E-4</v>
      </c>
      <c r="P313">
        <v>1.7379617226782101E-4</v>
      </c>
      <c r="Q313">
        <v>1.60138027979519E-4</v>
      </c>
      <c r="R313">
        <v>1.4882721070972501E-4</v>
      </c>
      <c r="S313">
        <v>1.38778468225622E-4</v>
      </c>
      <c r="T313">
        <v>1.3001078499352701E-4</v>
      </c>
      <c r="U313">
        <v>1.2210877884214001E-4</v>
      </c>
      <c r="V313">
        <v>1.1497521720076799E-4</v>
      </c>
      <c r="W313">
        <v>1.08361825225561E-4</v>
      </c>
      <c r="X313">
        <v>1.02277708533146E-4</v>
      </c>
      <c r="Y313">
        <v>8.8168063998213101E-5</v>
      </c>
      <c r="Z313">
        <v>7.6572776107518894E-5</v>
      </c>
      <c r="AA313">
        <v>6.6851390523323898E-5</v>
      </c>
      <c r="AB313">
        <v>5.8227473463410998E-5</v>
      </c>
      <c r="AC313">
        <v>5.0194798379504503E-5</v>
      </c>
      <c r="AD313">
        <v>4.6549524670086102E-5</v>
      </c>
      <c r="AE313">
        <v>4.5149287027192803E-5</v>
      </c>
      <c r="AF313">
        <v>4.4228598542524901E-5</v>
      </c>
      <c r="AG313">
        <v>4.3894265999868498E-5</v>
      </c>
      <c r="AH313">
        <v>4.3387091869517903E-5</v>
      </c>
      <c r="AI313">
        <v>4.04528138325038E-5</v>
      </c>
      <c r="AJ313">
        <v>3.78167117564162E-5</v>
      </c>
      <c r="AK313">
        <v>3.4223479675444602E-5</v>
      </c>
      <c r="AL313">
        <v>3.1009291688881498E-5</v>
      </c>
      <c r="AM313">
        <v>2.8107162507797899E-5</v>
      </c>
      <c r="AN313">
        <v>2.55241331635284E-5</v>
      </c>
      <c r="AO313">
        <v>2.3184836976579E-5</v>
      </c>
      <c r="AP313">
        <v>2.10542715453622E-5</v>
      </c>
      <c r="AQ313">
        <v>1.9040176881188299E-5</v>
      </c>
      <c r="AR313">
        <v>1.70784038695879E-5</v>
      </c>
      <c r="AS313">
        <v>1.5343976642174199E-5</v>
      </c>
    </row>
    <row r="314" spans="1:45" hidden="1" x14ac:dyDescent="0.3">
      <c r="A314" t="s">
        <v>762</v>
      </c>
      <c r="B314" t="s">
        <v>682</v>
      </c>
      <c r="C314" t="s">
        <v>681</v>
      </c>
      <c r="D314" t="s">
        <v>680</v>
      </c>
      <c r="E314" t="s">
        <v>752</v>
      </c>
      <c r="F314">
        <v>999</v>
      </c>
      <c r="G314">
        <v>0</v>
      </c>
      <c r="H314">
        <v>0</v>
      </c>
      <c r="I314">
        <v>0</v>
      </c>
      <c r="J314">
        <v>6.0013188954999796E-4</v>
      </c>
      <c r="K314">
        <v>5.3500756107748297E-4</v>
      </c>
      <c r="L314">
        <v>2.5538155402454E-4</v>
      </c>
      <c r="M314">
        <v>2.6508240349090202E-4</v>
      </c>
      <c r="N314">
        <v>2.1632666159498499E-4</v>
      </c>
      <c r="O314">
        <v>1.72063139243745E-4</v>
      </c>
      <c r="P314">
        <v>1.51885224673659E-4</v>
      </c>
      <c r="Q314">
        <v>1.3690668798759E-4</v>
      </c>
      <c r="R314">
        <v>1.2458959809916401E-4</v>
      </c>
      <c r="S314">
        <v>1.13872338607431E-4</v>
      </c>
      <c r="T314">
        <v>1.04699529678413E-4</v>
      </c>
      <c r="U314">
        <v>9.6602049551729101E-5</v>
      </c>
      <c r="V314">
        <v>8.94257508056782E-5</v>
      </c>
      <c r="W314">
        <v>8.2942227451427599E-5</v>
      </c>
      <c r="X314">
        <v>7.716603937835E-5</v>
      </c>
      <c r="Y314">
        <v>6.5449458302568398E-5</v>
      </c>
      <c r="Z314">
        <v>5.6014494581577498E-5</v>
      </c>
      <c r="AA314">
        <v>4.8265170254049201E-5</v>
      </c>
      <c r="AB314">
        <v>4.1544574568701503E-5</v>
      </c>
      <c r="AC314">
        <v>3.5366129263571797E-5</v>
      </c>
      <c r="AD314">
        <v>3.2393884096891399E-5</v>
      </c>
      <c r="AE314">
        <v>3.1182132259887403E-5</v>
      </c>
      <c r="AF314">
        <v>3.0409046347995401E-5</v>
      </c>
      <c r="AG314">
        <v>3.0262281826922201E-5</v>
      </c>
      <c r="AH314">
        <v>2.99681432811456E-5</v>
      </c>
      <c r="AI314">
        <v>2.8096905674209101E-5</v>
      </c>
      <c r="AJ314">
        <v>2.6446617413561199E-5</v>
      </c>
      <c r="AK314">
        <v>2.4094746591706101E-5</v>
      </c>
      <c r="AL314">
        <v>2.2000952605726498E-5</v>
      </c>
      <c r="AM314">
        <v>2.01157855819511E-5</v>
      </c>
      <c r="AN314">
        <v>1.84376585212938E-5</v>
      </c>
      <c r="AO314">
        <v>1.6916391139191401E-5</v>
      </c>
      <c r="AP314">
        <v>1.5526530405221199E-5</v>
      </c>
      <c r="AQ314">
        <v>1.41883499074126E-5</v>
      </c>
      <c r="AR314">
        <v>1.2862372227198899E-5</v>
      </c>
      <c r="AS314">
        <v>1.16900553092118E-5</v>
      </c>
    </row>
    <row r="315" spans="1:45" hidden="1" x14ac:dyDescent="0.3">
      <c r="A315" t="s">
        <v>761</v>
      </c>
      <c r="B315" t="s">
        <v>686</v>
      </c>
      <c r="C315" t="s">
        <v>681</v>
      </c>
      <c r="D315" t="s">
        <v>680</v>
      </c>
      <c r="E315" t="s">
        <v>8</v>
      </c>
      <c r="F315">
        <v>-20.3773714758978</v>
      </c>
      <c r="G315">
        <v>90.016851397788997</v>
      </c>
      <c r="H315">
        <v>138.88640779630001</v>
      </c>
      <c r="I315">
        <v>2617.6989523165898</v>
      </c>
      <c r="J315">
        <v>4.2634766501000003E-3</v>
      </c>
      <c r="K315">
        <v>4.3876371917000003E-3</v>
      </c>
      <c r="L315">
        <v>4.4683740431999998E-3</v>
      </c>
      <c r="M315">
        <v>4.6076080066000001E-3</v>
      </c>
      <c r="N315">
        <v>4.7646105177999998E-3</v>
      </c>
      <c r="O315">
        <v>4.9084169480000002E-3</v>
      </c>
      <c r="P315">
        <v>5.0395794472999998E-3</v>
      </c>
      <c r="Q315">
        <v>5.1711882333000002E-3</v>
      </c>
      <c r="R315">
        <v>5.3038650195000002E-3</v>
      </c>
      <c r="S315">
        <v>5.4387245689999997E-3</v>
      </c>
      <c r="T315">
        <v>5.5809959724999999E-3</v>
      </c>
      <c r="U315">
        <v>5.7362477310999999E-3</v>
      </c>
      <c r="V315">
        <v>5.9054600275000001E-3</v>
      </c>
      <c r="W315">
        <v>6.0738561296999997E-3</v>
      </c>
      <c r="X315">
        <v>6.2385439269000004E-3</v>
      </c>
      <c r="Y315">
        <v>6.4056403494999999E-3</v>
      </c>
      <c r="Z315">
        <v>6.5748208899000004E-3</v>
      </c>
      <c r="AA315">
        <v>6.7387124670000003E-3</v>
      </c>
      <c r="AB315">
        <v>6.8985340263999998E-3</v>
      </c>
      <c r="AC315">
        <v>7.0561757068999999E-3</v>
      </c>
      <c r="AD315">
        <v>7.2096291885999997E-3</v>
      </c>
      <c r="AE315">
        <v>7.3551356490999999E-3</v>
      </c>
      <c r="AF315">
        <v>7.5048692625E-3</v>
      </c>
      <c r="AG315">
        <v>7.6602695621000002E-3</v>
      </c>
      <c r="AH315">
        <v>7.8186326217999993E-3</v>
      </c>
      <c r="AI315">
        <v>7.9787239451999999E-3</v>
      </c>
      <c r="AJ315">
        <v>8.1418291180000001E-3</v>
      </c>
      <c r="AK315">
        <v>8.3045214429000001E-3</v>
      </c>
      <c r="AL315">
        <v>8.4664771722000008E-3</v>
      </c>
      <c r="AM315">
        <v>8.6280533681000002E-3</v>
      </c>
      <c r="AN315">
        <v>8.7888579583000007E-3</v>
      </c>
      <c r="AO315">
        <v>8.9490909067999995E-3</v>
      </c>
      <c r="AP315">
        <v>9.1076408908999998E-3</v>
      </c>
      <c r="AQ315">
        <v>9.2626006920999999E-3</v>
      </c>
      <c r="AR315">
        <v>9.4133511156000004E-3</v>
      </c>
      <c r="AS315">
        <v>9.5636422668999993E-3</v>
      </c>
    </row>
    <row r="316" spans="1:45" hidden="1" x14ac:dyDescent="0.3">
      <c r="A316" t="s">
        <v>761</v>
      </c>
      <c r="B316" t="s">
        <v>685</v>
      </c>
      <c r="C316" t="s">
        <v>681</v>
      </c>
      <c r="D316" t="s">
        <v>680</v>
      </c>
      <c r="E316" t="s">
        <v>8</v>
      </c>
      <c r="F316">
        <v>-20.3773714758978</v>
      </c>
      <c r="G316">
        <v>90.016851397788997</v>
      </c>
      <c r="H316">
        <v>138.88640779630001</v>
      </c>
      <c r="I316">
        <v>2617.6989523165898</v>
      </c>
      <c r="J316">
        <v>4.2634766501000003E-3</v>
      </c>
      <c r="K316">
        <v>4.3876371917000003E-3</v>
      </c>
      <c r="L316">
        <v>4.4479255483996002E-3</v>
      </c>
      <c r="M316">
        <v>4.5673360665182197E-3</v>
      </c>
      <c r="N316">
        <v>4.7035529193762303E-3</v>
      </c>
      <c r="O316">
        <v>4.8261016266036598E-3</v>
      </c>
      <c r="P316">
        <v>4.9358016232965403E-3</v>
      </c>
      <c r="Q316">
        <v>5.0455835657800896E-3</v>
      </c>
      <c r="R316">
        <v>5.1560946781584399E-3</v>
      </c>
      <c r="S316">
        <v>5.26841658710078E-3</v>
      </c>
      <c r="T316">
        <v>5.3875745610021302E-3</v>
      </c>
      <c r="U316">
        <v>5.5189004135731802E-3</v>
      </c>
      <c r="V316">
        <v>5.6632257978036504E-3</v>
      </c>
      <c r="W316">
        <v>5.8063100232473696E-3</v>
      </c>
      <c r="X316">
        <v>5.9543801364315401E-3</v>
      </c>
      <c r="Y316">
        <v>6.1135571249289903E-3</v>
      </c>
      <c r="Z316">
        <v>6.2747248816129404E-3</v>
      </c>
      <c r="AA316">
        <v>6.4308476359930698E-3</v>
      </c>
      <c r="AB316">
        <v>6.5830881476496598E-3</v>
      </c>
      <c r="AC316">
        <v>6.7332501224706296E-3</v>
      </c>
      <c r="AD316">
        <v>6.8794174145768803E-3</v>
      </c>
      <c r="AE316">
        <v>7.0180035535918599E-3</v>
      </c>
      <c r="AF316">
        <v>7.1606226891900299E-3</v>
      </c>
      <c r="AG316">
        <v>7.3086483231904701E-3</v>
      </c>
      <c r="AH316">
        <v>7.4595006388949803E-3</v>
      </c>
      <c r="AI316">
        <v>7.6120018280911601E-3</v>
      </c>
      <c r="AJ316">
        <v>7.7674921470574703E-3</v>
      </c>
      <c r="AK316">
        <v>7.9227043650655204E-3</v>
      </c>
      <c r="AL316">
        <v>8.0772138539379305E-3</v>
      </c>
      <c r="AM316">
        <v>8.2313612592218397E-3</v>
      </c>
      <c r="AN316">
        <v>8.3847725349298907E-3</v>
      </c>
      <c r="AO316">
        <v>8.5376384513149405E-3</v>
      </c>
      <c r="AP316">
        <v>8.6888987809735606E-3</v>
      </c>
      <c r="AQ316">
        <v>8.8367339936126395E-3</v>
      </c>
      <c r="AR316">
        <v>8.98055336315862E-3</v>
      </c>
      <c r="AS316">
        <v>9.1239345764678199E-3</v>
      </c>
    </row>
    <row r="317" spans="1:45" hidden="1" x14ac:dyDescent="0.3">
      <c r="A317" t="s">
        <v>761</v>
      </c>
      <c r="B317" t="s">
        <v>684</v>
      </c>
      <c r="C317" t="s">
        <v>681</v>
      </c>
      <c r="D317" t="s">
        <v>680</v>
      </c>
      <c r="E317" t="s">
        <v>8</v>
      </c>
      <c r="F317">
        <v>-20.3773714758978</v>
      </c>
      <c r="G317">
        <v>90.016851397788997</v>
      </c>
      <c r="H317">
        <v>307.49180676474998</v>
      </c>
      <c r="I317">
        <v>5795.5345896380204</v>
      </c>
      <c r="J317">
        <v>8.5269533002000004E-4</v>
      </c>
      <c r="K317">
        <v>8.7752743833999995E-4</v>
      </c>
      <c r="L317">
        <v>2.0903544814706398E-3</v>
      </c>
      <c r="M317">
        <v>2.1520314751925498E-3</v>
      </c>
      <c r="N317">
        <v>2.2214082393827101E-3</v>
      </c>
      <c r="O317">
        <v>2.2837114527817799E-3</v>
      </c>
      <c r="P317">
        <v>2.339271693633E-3</v>
      </c>
      <c r="Q317">
        <v>2.3947191115102702E-3</v>
      </c>
      <c r="R317">
        <v>2.4503039200217298E-3</v>
      </c>
      <c r="S317">
        <v>2.5071089181291401E-3</v>
      </c>
      <c r="T317">
        <v>2.5678912288591899E-3</v>
      </c>
      <c r="U317">
        <v>2.63538062760182E-3</v>
      </c>
      <c r="V317">
        <v>2.7094451425118799E-3</v>
      </c>
      <c r="W317">
        <v>2.78334048836465E-3</v>
      </c>
      <c r="X317">
        <v>2.8516826764760999E-3</v>
      </c>
      <c r="Y317">
        <v>2.9272607023188902E-3</v>
      </c>
      <c r="Z317">
        <v>2.99982210902038E-3</v>
      </c>
      <c r="AA317">
        <v>3.07053619086332E-3</v>
      </c>
      <c r="AB317">
        <v>3.1394957990162E-3</v>
      </c>
      <c r="AC317">
        <v>3.2075735406883101E-3</v>
      </c>
      <c r="AD317">
        <v>3.2736398095241899E-3</v>
      </c>
      <c r="AE317">
        <v>3.3361873962941802E-3</v>
      </c>
      <c r="AF317">
        <v>3.4008801025370199E-3</v>
      </c>
      <c r="AG317">
        <v>3.4680665694823299E-3</v>
      </c>
      <c r="AH317">
        <v>3.5361459845108302E-3</v>
      </c>
      <c r="AI317">
        <v>3.60378690486692E-3</v>
      </c>
      <c r="AJ317">
        <v>3.67347212297485E-3</v>
      </c>
      <c r="AK317">
        <v>3.7421321089812498E-3</v>
      </c>
      <c r="AL317">
        <v>3.8097811942929098E-3</v>
      </c>
      <c r="AM317">
        <v>3.8766190700416201E-3</v>
      </c>
      <c r="AN317">
        <v>3.9479068656944399E-3</v>
      </c>
      <c r="AO317">
        <v>4.01352464801166E-3</v>
      </c>
      <c r="AP317">
        <v>4.0784686592434801E-3</v>
      </c>
      <c r="AQ317">
        <v>4.1416390644044201E-3</v>
      </c>
      <c r="AR317">
        <v>4.2019551471615402E-3</v>
      </c>
      <c r="AS317">
        <v>4.2610100640165603E-3</v>
      </c>
    </row>
    <row r="318" spans="1:45" hidden="1" x14ac:dyDescent="0.3">
      <c r="A318" t="s">
        <v>761</v>
      </c>
      <c r="B318" t="s">
        <v>682</v>
      </c>
      <c r="C318" t="s">
        <v>681</v>
      </c>
      <c r="D318" t="s">
        <v>680</v>
      </c>
      <c r="E318" t="s">
        <v>8</v>
      </c>
      <c r="F318">
        <v>-20.3773714758978</v>
      </c>
      <c r="G318">
        <v>90.016851397788997</v>
      </c>
      <c r="H318">
        <v>307.49180676474998</v>
      </c>
      <c r="I318">
        <v>5795.5345896380204</v>
      </c>
      <c r="J318">
        <v>8.5269533002000004E-4</v>
      </c>
      <c r="K318">
        <v>8.7752743833999995E-4</v>
      </c>
      <c r="L318">
        <v>2.0807884508894699E-3</v>
      </c>
      <c r="M318">
        <v>2.1332324446819398E-3</v>
      </c>
      <c r="N318">
        <v>2.19296339660351E-3</v>
      </c>
      <c r="O318">
        <v>2.2454458164385799E-3</v>
      </c>
      <c r="P318">
        <v>2.2911404501672699E-3</v>
      </c>
      <c r="Q318">
        <v>2.3365965607952798E-3</v>
      </c>
      <c r="R318">
        <v>2.38207894850962E-3</v>
      </c>
      <c r="S318">
        <v>2.4286392113091501E-3</v>
      </c>
      <c r="T318">
        <v>2.4789257323308699E-3</v>
      </c>
      <c r="U318">
        <v>2.5355461400084099E-3</v>
      </c>
      <c r="V318">
        <v>2.5983170017238001E-3</v>
      </c>
      <c r="W318">
        <v>2.6607362575669299E-3</v>
      </c>
      <c r="X318">
        <v>2.72178246866222E-3</v>
      </c>
      <c r="Y318">
        <v>2.7937770738092299E-3</v>
      </c>
      <c r="Z318">
        <v>2.8628943774745299E-3</v>
      </c>
      <c r="AA318">
        <v>2.9302503642316801E-3</v>
      </c>
      <c r="AB318">
        <v>2.9959331663889101E-3</v>
      </c>
      <c r="AC318">
        <v>3.0607754289415099E-3</v>
      </c>
      <c r="AD318">
        <v>3.12369930643549E-3</v>
      </c>
      <c r="AE318">
        <v>3.1832667137556602E-3</v>
      </c>
      <c r="AF318">
        <v>3.2448809048739799E-3</v>
      </c>
      <c r="AG318">
        <v>3.3088744891700702E-3</v>
      </c>
      <c r="AH318">
        <v>3.3737201421357899E-3</v>
      </c>
      <c r="AI318">
        <v>3.4381476377898998E-3</v>
      </c>
      <c r="AJ318">
        <v>3.50457685295302E-3</v>
      </c>
      <c r="AK318">
        <v>3.5700800579936101E-3</v>
      </c>
      <c r="AL318">
        <v>3.63461884053232E-3</v>
      </c>
      <c r="AM318">
        <v>3.69838371049948E-3</v>
      </c>
      <c r="AN318">
        <v>3.7663939063521698E-3</v>
      </c>
      <c r="AO318">
        <v>3.8289947791375601E-3</v>
      </c>
      <c r="AP318">
        <v>3.8909528588184899E-3</v>
      </c>
      <c r="AQ318">
        <v>3.9512188775352496E-3</v>
      </c>
      <c r="AR318">
        <v>4.0087618070621502E-3</v>
      </c>
      <c r="AS318">
        <v>4.0651015553261399E-3</v>
      </c>
    </row>
    <row r="319" spans="1:45" hidden="1" x14ac:dyDescent="0.3">
      <c r="A319" t="s">
        <v>760</v>
      </c>
      <c r="B319" t="s">
        <v>686</v>
      </c>
      <c r="C319" t="s">
        <v>681</v>
      </c>
      <c r="D319" t="s">
        <v>680</v>
      </c>
      <c r="E319" t="s">
        <v>752</v>
      </c>
      <c r="F319">
        <v>11.396007425179301</v>
      </c>
      <c r="G319">
        <v>7.9582034572192502</v>
      </c>
      <c r="H319">
        <v>9.2745804757989792</v>
      </c>
      <c r="I319">
        <v>174.805151777578</v>
      </c>
      <c r="J319">
        <v>0.34725935812050002</v>
      </c>
      <c r="K319">
        <v>0.29685106614270002</v>
      </c>
      <c r="L319">
        <v>0.29068201849690001</v>
      </c>
      <c r="M319">
        <v>0.38799438464030001</v>
      </c>
      <c r="N319">
        <v>0.37078677160439999</v>
      </c>
      <c r="O319">
        <v>0.3510915761742</v>
      </c>
      <c r="P319">
        <v>0.35100640529030003</v>
      </c>
      <c r="Q319">
        <v>0.35060239708219998</v>
      </c>
      <c r="R319">
        <v>0.35013284896169999</v>
      </c>
      <c r="S319">
        <v>0.34946637994739999</v>
      </c>
      <c r="T319">
        <v>0.34909565965310002</v>
      </c>
      <c r="U319">
        <v>0.34884880933220003</v>
      </c>
      <c r="V319">
        <v>0.3491256698595</v>
      </c>
      <c r="W319">
        <v>0.34945358395499998</v>
      </c>
      <c r="X319">
        <v>0.34995284691049999</v>
      </c>
      <c r="Y319">
        <v>0.35061990820599997</v>
      </c>
      <c r="Z319">
        <v>0.35149399362930001</v>
      </c>
      <c r="AA319">
        <v>0.35222499780619998</v>
      </c>
      <c r="AB319">
        <v>0.35283199908070001</v>
      </c>
      <c r="AC319">
        <v>0.3537661837903</v>
      </c>
      <c r="AD319">
        <v>0.35484201877459998</v>
      </c>
      <c r="AE319">
        <v>0.35580932382129998</v>
      </c>
      <c r="AF319">
        <v>0.35690030596619998</v>
      </c>
      <c r="AG319">
        <v>0.3581422854686</v>
      </c>
      <c r="AH319">
        <v>0.35933983801530001</v>
      </c>
      <c r="AI319">
        <v>0.3604526455123</v>
      </c>
      <c r="AJ319">
        <v>0.36157032506730002</v>
      </c>
      <c r="AK319">
        <v>0.36274903139039999</v>
      </c>
      <c r="AL319">
        <v>0.36382366945990002</v>
      </c>
      <c r="AM319">
        <v>0.36489749135900001</v>
      </c>
      <c r="AN319">
        <v>0.36601731046820002</v>
      </c>
      <c r="AO319">
        <v>0.36711680582630002</v>
      </c>
      <c r="AP319">
        <v>0.36805243497559997</v>
      </c>
      <c r="AQ319">
        <v>0.36900140793960001</v>
      </c>
      <c r="AR319">
        <v>0.36966305963950002</v>
      </c>
      <c r="AS319">
        <v>0.37043279068910001</v>
      </c>
    </row>
    <row r="320" spans="1:45" hidden="1" x14ac:dyDescent="0.3">
      <c r="A320" t="s">
        <v>760</v>
      </c>
      <c r="B320" t="s">
        <v>685</v>
      </c>
      <c r="C320" t="s">
        <v>681</v>
      </c>
      <c r="D320" t="s">
        <v>680</v>
      </c>
      <c r="E320" t="s">
        <v>752</v>
      </c>
      <c r="F320">
        <v>11.396007425179301</v>
      </c>
      <c r="G320">
        <v>7.9582034572192502</v>
      </c>
      <c r="H320">
        <v>9.2745804757989792</v>
      </c>
      <c r="I320">
        <v>174.805151777578</v>
      </c>
      <c r="J320">
        <v>0.34507889238346401</v>
      </c>
      <c r="K320">
        <v>0.29282257071749601</v>
      </c>
      <c r="L320">
        <v>0.28464451518594103</v>
      </c>
      <c r="M320">
        <v>0.37717576152210702</v>
      </c>
      <c r="N320">
        <v>0.35785753747127802</v>
      </c>
      <c r="O320">
        <v>0.33646259459464201</v>
      </c>
      <c r="P320">
        <v>0.33407365970887498</v>
      </c>
      <c r="Q320">
        <v>0.331458072496983</v>
      </c>
      <c r="R320">
        <v>0.328860905421405</v>
      </c>
      <c r="S320">
        <v>0.32615658866178099</v>
      </c>
      <c r="T320">
        <v>0.323798436923666</v>
      </c>
      <c r="U320">
        <v>0.32162567564696898</v>
      </c>
      <c r="V320">
        <v>0.31999993648820602</v>
      </c>
      <c r="W320">
        <v>0.31847653948130999</v>
      </c>
      <c r="X320">
        <v>0.31715945792793898</v>
      </c>
      <c r="Y320">
        <v>0.31604153904147703</v>
      </c>
      <c r="Z320">
        <v>0.31515626748466602</v>
      </c>
      <c r="AA320">
        <v>0.31418833425837001</v>
      </c>
      <c r="AB320">
        <v>0.31362844362728898</v>
      </c>
      <c r="AC320">
        <v>0.31445883003582198</v>
      </c>
      <c r="AD320">
        <v>0.31541512779964498</v>
      </c>
      <c r="AE320">
        <v>0.316274954507822</v>
      </c>
      <c r="AF320">
        <v>0.3172447164144</v>
      </c>
      <c r="AG320">
        <v>0.318348698194311</v>
      </c>
      <c r="AH320">
        <v>0.31941318934693302</v>
      </c>
      <c r="AI320">
        <v>0.320402351566489</v>
      </c>
      <c r="AJ320">
        <v>0.321395844504267</v>
      </c>
      <c r="AK320">
        <v>0.32244358345813301</v>
      </c>
      <c r="AL320">
        <v>0.32339881729768899</v>
      </c>
      <c r="AM320">
        <v>0.32435332565244501</v>
      </c>
      <c r="AN320">
        <v>0.32534872041617802</v>
      </c>
      <c r="AO320">
        <v>0.32632604962337802</v>
      </c>
      <c r="AP320">
        <v>0.327157719978311</v>
      </c>
      <c r="AQ320">
        <v>0.32800125150186699</v>
      </c>
      <c r="AR320">
        <v>0.32858938634622198</v>
      </c>
      <c r="AS320">
        <v>0.32927359172364501</v>
      </c>
    </row>
    <row r="321" spans="1:45" hidden="1" x14ac:dyDescent="0.3">
      <c r="A321" t="s">
        <v>760</v>
      </c>
      <c r="B321" t="s">
        <v>684</v>
      </c>
      <c r="C321" t="s">
        <v>681</v>
      </c>
      <c r="D321" t="s">
        <v>680</v>
      </c>
      <c r="E321" t="s">
        <v>752</v>
      </c>
      <c r="F321">
        <v>11.396007425179301</v>
      </c>
      <c r="G321">
        <v>7.9582034572192502</v>
      </c>
      <c r="H321">
        <v>15.565566145555399</v>
      </c>
      <c r="I321">
        <v>293.37619741159602</v>
      </c>
      <c r="J321">
        <v>0.29880597435943801</v>
      </c>
      <c r="K321">
        <v>0.25591100118052201</v>
      </c>
      <c r="L321">
        <v>0.141343859041484</v>
      </c>
      <c r="M321">
        <v>0.146476548974041</v>
      </c>
      <c r="N321">
        <v>0.121641412820979</v>
      </c>
      <c r="O321">
        <v>0.104237687897903</v>
      </c>
      <c r="P321">
        <v>9.8475984630736701E-2</v>
      </c>
      <c r="Q321">
        <v>9.4916833652385804E-2</v>
      </c>
      <c r="R321">
        <v>9.2402618579873294E-2</v>
      </c>
      <c r="S321">
        <v>9.0401676247282306E-2</v>
      </c>
      <c r="T321">
        <v>8.8881216425995099E-2</v>
      </c>
      <c r="U321">
        <v>8.7700139491426798E-2</v>
      </c>
      <c r="V321">
        <v>8.6829337912751298E-2</v>
      </c>
      <c r="W321">
        <v>8.6145223552482705E-2</v>
      </c>
      <c r="X321">
        <v>8.57026628568371E-2</v>
      </c>
      <c r="Y321">
        <v>8.1450975132083298E-2</v>
      </c>
      <c r="Z321">
        <v>7.8293111708195903E-2</v>
      </c>
      <c r="AA321">
        <v>7.5937930414852195E-2</v>
      </c>
      <c r="AB321">
        <v>7.4544892897871098E-2</v>
      </c>
      <c r="AC321">
        <v>7.4333970425915899E-2</v>
      </c>
      <c r="AD321">
        <v>7.4143236032051099E-2</v>
      </c>
      <c r="AE321">
        <v>7.1454406340939206E-2</v>
      </c>
      <c r="AF321">
        <v>6.9634663750365797E-2</v>
      </c>
      <c r="AG321">
        <v>6.8766554837007193E-2</v>
      </c>
      <c r="AH321">
        <v>6.7726332114817697E-2</v>
      </c>
      <c r="AI321">
        <v>6.6962794664938402E-2</v>
      </c>
      <c r="AJ321">
        <v>6.6479213374720694E-2</v>
      </c>
      <c r="AK321">
        <v>6.6224473251044302E-2</v>
      </c>
      <c r="AL321">
        <v>6.6140342807705699E-2</v>
      </c>
      <c r="AM321">
        <v>6.6192743683913396E-2</v>
      </c>
      <c r="AN321">
        <v>6.5997109195397904E-2</v>
      </c>
      <c r="AO321">
        <v>6.5977053573416294E-2</v>
      </c>
      <c r="AP321">
        <v>6.6090226366218502E-2</v>
      </c>
      <c r="AQ321">
        <v>6.6103667178696895E-2</v>
      </c>
      <c r="AR321">
        <v>6.5804238708404406E-2</v>
      </c>
      <c r="AS321">
        <v>6.5718967354508495E-2</v>
      </c>
    </row>
    <row r="322" spans="1:45" hidden="1" x14ac:dyDescent="0.3">
      <c r="A322" t="s">
        <v>760</v>
      </c>
      <c r="B322" t="s">
        <v>682</v>
      </c>
      <c r="C322" t="s">
        <v>681</v>
      </c>
      <c r="D322" t="s">
        <v>680</v>
      </c>
      <c r="E322" t="s">
        <v>752</v>
      </c>
      <c r="F322">
        <v>11.396007425179301</v>
      </c>
      <c r="G322">
        <v>7.9582034572192502</v>
      </c>
      <c r="H322">
        <v>15.565566145555399</v>
      </c>
      <c r="I322">
        <v>293.37619741159602</v>
      </c>
      <c r="J322">
        <v>0.29669180717272903</v>
      </c>
      <c r="K322">
        <v>0.252012236021181</v>
      </c>
      <c r="L322">
        <v>0.13610556277765401</v>
      </c>
      <c r="M322">
        <v>0.137498804298886</v>
      </c>
      <c r="N322">
        <v>0.11118102077705599</v>
      </c>
      <c r="O322">
        <v>9.2722319227881905E-2</v>
      </c>
      <c r="P322">
        <v>8.52503695858636E-2</v>
      </c>
      <c r="Q322">
        <v>8.0004485162071801E-2</v>
      </c>
      <c r="R322">
        <v>7.5866110914057497E-2</v>
      </c>
      <c r="S322">
        <v>7.2344935369730495E-2</v>
      </c>
      <c r="T322">
        <v>6.9400396226883404E-2</v>
      </c>
      <c r="U322">
        <v>6.6866939743430595E-2</v>
      </c>
      <c r="V322">
        <v>6.4693510049571398E-2</v>
      </c>
      <c r="W322">
        <v>6.2779581374774102E-2</v>
      </c>
      <c r="X322">
        <v>6.1188398934858203E-2</v>
      </c>
      <c r="Y322">
        <v>5.6903384423310097E-2</v>
      </c>
      <c r="Z322">
        <v>5.3605535019276E-2</v>
      </c>
      <c r="AA322">
        <v>5.1036600858267903E-2</v>
      </c>
      <c r="AB322">
        <v>4.9363617978051402E-2</v>
      </c>
      <c r="AC322">
        <v>4.87265043957988E-2</v>
      </c>
      <c r="AD322">
        <v>4.8127265900935599E-2</v>
      </c>
      <c r="AE322">
        <v>4.59924111482201E-2</v>
      </c>
      <c r="AF322">
        <v>4.45821872289845E-2</v>
      </c>
      <c r="AG322">
        <v>4.4081720804876302E-2</v>
      </c>
      <c r="AH322">
        <v>4.3447838170815802E-2</v>
      </c>
      <c r="AI322">
        <v>4.3099244132541299E-2</v>
      </c>
      <c r="AJ322">
        <v>4.2998641217178599E-2</v>
      </c>
      <c r="AK322">
        <v>4.30970309504419E-2</v>
      </c>
      <c r="AL322">
        <v>4.3362922701208097E-2</v>
      </c>
      <c r="AM322">
        <v>4.3776973107266998E-2</v>
      </c>
      <c r="AN322">
        <v>4.4066423392921002E-2</v>
      </c>
      <c r="AO322">
        <v>4.4525066494334603E-2</v>
      </c>
      <c r="AP322">
        <v>4.5125897470824801E-2</v>
      </c>
      <c r="AQ322">
        <v>4.5676109621126199E-2</v>
      </c>
      <c r="AR322">
        <v>4.6049763373403198E-2</v>
      </c>
      <c r="AS322">
        <v>4.6635194261196798E-2</v>
      </c>
    </row>
    <row r="323" spans="1:45" hidden="1" x14ac:dyDescent="0.3">
      <c r="A323" t="s">
        <v>759</v>
      </c>
      <c r="B323" t="s">
        <v>686</v>
      </c>
      <c r="C323" t="s">
        <v>681</v>
      </c>
      <c r="D323" t="s">
        <v>680</v>
      </c>
      <c r="E323" t="s">
        <v>22</v>
      </c>
      <c r="F323">
        <v>11.986798506259801</v>
      </c>
      <c r="G323">
        <v>7.3717172290254798</v>
      </c>
      <c r="H323">
        <v>9.1942486656639701</v>
      </c>
      <c r="I323">
        <v>173.29107636469499</v>
      </c>
      <c r="J323">
        <v>0.10354866159580001</v>
      </c>
      <c r="K323">
        <v>0.10217345257759999</v>
      </c>
      <c r="L323">
        <v>0.1011204625589</v>
      </c>
      <c r="M323">
        <v>0.1015010220695</v>
      </c>
      <c r="N323">
        <v>0.1022510725916</v>
      </c>
      <c r="O323">
        <v>0.1025873236771</v>
      </c>
      <c r="P323">
        <v>0.10273981578370001</v>
      </c>
      <c r="Q323">
        <v>0.1029937022892</v>
      </c>
      <c r="R323">
        <v>0.1033669932176</v>
      </c>
      <c r="S323">
        <v>0.1038548194039</v>
      </c>
      <c r="T323">
        <v>0.10454500995300001</v>
      </c>
      <c r="U323">
        <v>0.10547836629140001</v>
      </c>
      <c r="V323">
        <v>0.10660791222929999</v>
      </c>
      <c r="W323">
        <v>0.1078941131892</v>
      </c>
      <c r="X323">
        <v>0.10932748404830001</v>
      </c>
      <c r="Y323">
        <v>0.1109430894342</v>
      </c>
      <c r="Z323">
        <v>0.1125617221666</v>
      </c>
      <c r="AA323">
        <v>0.1140601611863</v>
      </c>
      <c r="AB323">
        <v>0.1155172027893</v>
      </c>
      <c r="AC323">
        <v>0.1169980118542</v>
      </c>
      <c r="AD323">
        <v>0.1184955634615</v>
      </c>
      <c r="AE323">
        <v>0.11993513609170001</v>
      </c>
      <c r="AF323">
        <v>0.12133363942769999</v>
      </c>
      <c r="AG323">
        <v>0.1227284285435</v>
      </c>
      <c r="AH323">
        <v>0.1240993904884</v>
      </c>
      <c r="AI323">
        <v>0.12545859824</v>
      </c>
      <c r="AJ323">
        <v>0.1268471480319</v>
      </c>
      <c r="AK323">
        <v>0.128231888578</v>
      </c>
      <c r="AL323">
        <v>0.12963975492919999</v>
      </c>
      <c r="AM323">
        <v>0.1311038511364</v>
      </c>
      <c r="AN323">
        <v>0.1326287605881</v>
      </c>
      <c r="AO323">
        <v>0.13421450617639999</v>
      </c>
      <c r="AP323">
        <v>0.135835301214</v>
      </c>
      <c r="AQ323">
        <v>0.1374422419962</v>
      </c>
      <c r="AR323">
        <v>0.13901645336759999</v>
      </c>
      <c r="AS323">
        <v>0.14060735622439999</v>
      </c>
    </row>
    <row r="324" spans="1:45" hidden="1" x14ac:dyDescent="0.3">
      <c r="A324" t="s">
        <v>759</v>
      </c>
      <c r="B324" t="s">
        <v>685</v>
      </c>
      <c r="C324" t="s">
        <v>681</v>
      </c>
      <c r="D324" t="s">
        <v>680</v>
      </c>
      <c r="E324" t="s">
        <v>22</v>
      </c>
      <c r="F324">
        <v>11.986798506259801</v>
      </c>
      <c r="G324">
        <v>7.3717172290254798</v>
      </c>
      <c r="H324">
        <v>9.1942486656639701</v>
      </c>
      <c r="I324">
        <v>173.29107636469499</v>
      </c>
      <c r="J324">
        <v>0.10084834421062901</v>
      </c>
      <c r="K324">
        <v>9.6710734880427501E-2</v>
      </c>
      <c r="L324">
        <v>9.3000362035097706E-2</v>
      </c>
      <c r="M324">
        <v>9.0675806456136404E-2</v>
      </c>
      <c r="N324">
        <v>8.8717446762370297E-2</v>
      </c>
      <c r="O324">
        <v>8.6452239519179297E-2</v>
      </c>
      <c r="P324">
        <v>8.4107735256070904E-2</v>
      </c>
      <c r="Q324">
        <v>8.1919863360064599E-2</v>
      </c>
      <c r="R324">
        <v>7.9895145734484599E-2</v>
      </c>
      <c r="S324">
        <v>7.8018502411922999E-2</v>
      </c>
      <c r="T324">
        <v>7.6343285929466501E-2</v>
      </c>
      <c r="U324">
        <v>7.4885919804458995E-2</v>
      </c>
      <c r="V324">
        <v>7.4624792305124393E-2</v>
      </c>
      <c r="W324">
        <v>7.5525123973647704E-2</v>
      </c>
      <c r="X324">
        <v>7.6528473541421699E-2</v>
      </c>
      <c r="Y324">
        <v>7.7659386002313993E-2</v>
      </c>
      <c r="Z324">
        <v>7.87924175845649E-2</v>
      </c>
      <c r="AA324">
        <v>7.9841314409281702E-2</v>
      </c>
      <c r="AB324">
        <v>8.0861233332090499E-2</v>
      </c>
      <c r="AC324">
        <v>8.1897789311856997E-2</v>
      </c>
      <c r="AD324">
        <v>8.2946064954105794E-2</v>
      </c>
      <c r="AE324">
        <v>8.3953755718237405E-2</v>
      </c>
      <c r="AF324">
        <v>8.4932698263914003E-2</v>
      </c>
      <c r="AG324">
        <v>8.5909040881450197E-2</v>
      </c>
      <c r="AH324">
        <v>8.6868704646146599E-2</v>
      </c>
      <c r="AI324">
        <v>8.7820140557812301E-2</v>
      </c>
      <c r="AJ324">
        <v>8.8792115692293797E-2</v>
      </c>
      <c r="AK324">
        <v>8.9761424381380003E-2</v>
      </c>
      <c r="AL324">
        <v>9.0746920972155504E-2</v>
      </c>
      <c r="AM324">
        <v>9.1771778068522103E-2</v>
      </c>
      <c r="AN324">
        <v>9.2839204010345899E-2</v>
      </c>
      <c r="AO324">
        <v>9.39492148219368E-2</v>
      </c>
      <c r="AP324">
        <v>9.5083760002691503E-2</v>
      </c>
      <c r="AQ324">
        <v>9.6208607301646001E-2</v>
      </c>
      <c r="AR324">
        <v>9.7310544242146496E-2</v>
      </c>
      <c r="AS324">
        <v>9.8424165105586506E-2</v>
      </c>
    </row>
    <row r="325" spans="1:45" hidden="1" x14ac:dyDescent="0.3">
      <c r="A325" t="s">
        <v>759</v>
      </c>
      <c r="B325" t="s">
        <v>684</v>
      </c>
      <c r="C325" t="s">
        <v>681</v>
      </c>
      <c r="D325" t="s">
        <v>680</v>
      </c>
      <c r="E325" t="s">
        <v>22</v>
      </c>
      <c r="F325">
        <v>11.986798506259801</v>
      </c>
      <c r="G325">
        <v>7.3717172290254798</v>
      </c>
      <c r="H325">
        <v>2772.5704818613199</v>
      </c>
      <c r="I325">
        <v>52256.768396225503</v>
      </c>
      <c r="J325">
        <v>3.7187216902647901E-3</v>
      </c>
      <c r="K325">
        <v>3.67141506246076E-3</v>
      </c>
      <c r="L325">
        <v>3.4402467133191898E-3</v>
      </c>
      <c r="M325">
        <v>3.20565864019208E-3</v>
      </c>
      <c r="N325">
        <v>2.9876806122223999E-3</v>
      </c>
      <c r="O325">
        <v>2.6981383901258701E-3</v>
      </c>
      <c r="P325">
        <v>2.4334981314614499E-3</v>
      </c>
      <c r="Q325">
        <v>2.1978665439776101E-3</v>
      </c>
      <c r="R325">
        <v>1.98863705249013E-3</v>
      </c>
      <c r="S325">
        <v>1.8024381652301E-3</v>
      </c>
      <c r="T325">
        <v>1.6374486987741101E-3</v>
      </c>
      <c r="U325">
        <v>1.4921514405475901E-3</v>
      </c>
      <c r="V325">
        <v>1.42307301951517E-3</v>
      </c>
      <c r="W325">
        <v>1.2950725785613E-3</v>
      </c>
      <c r="X325">
        <v>1.17996588636942E-3</v>
      </c>
      <c r="Y325">
        <v>1.0757377510547601E-3</v>
      </c>
      <c r="Z325">
        <v>9.8020652456020903E-4</v>
      </c>
      <c r="AA325">
        <v>8.92428380086117E-4</v>
      </c>
      <c r="AB325">
        <v>8.1179744030885801E-4</v>
      </c>
      <c r="AC325">
        <v>7.3834996948186297E-4</v>
      </c>
      <c r="AD325">
        <v>6.7149391809193397E-4</v>
      </c>
      <c r="AE325">
        <v>6.1044649006663295E-4</v>
      </c>
      <c r="AF325">
        <v>5.5474505441092004E-4</v>
      </c>
      <c r="AG325">
        <v>5.0409043775733603E-4</v>
      </c>
      <c r="AH325">
        <v>4.5800559269695699E-4</v>
      </c>
      <c r="AI325">
        <v>4.1603903562070402E-4</v>
      </c>
      <c r="AJ325">
        <v>3.7796311700547501E-4</v>
      </c>
      <c r="AK325">
        <v>3.4335000827965102E-4</v>
      </c>
      <c r="AL325">
        <v>3.1190184085413801E-4</v>
      </c>
      <c r="AM325">
        <v>2.8336773775053799E-4</v>
      </c>
      <c r="AN325">
        <v>2.5747515897840299E-4</v>
      </c>
      <c r="AO325">
        <v>2.3399127991839501E-4</v>
      </c>
      <c r="AP325">
        <v>2.12661196700051E-4</v>
      </c>
      <c r="AQ325">
        <v>1.9324222039928299E-4</v>
      </c>
      <c r="AR325">
        <v>1.7563984455174199E-4</v>
      </c>
      <c r="AS325">
        <v>1.5970207583151E-4</v>
      </c>
    </row>
    <row r="326" spans="1:45" hidden="1" x14ac:dyDescent="0.3">
      <c r="A326" t="s">
        <v>759</v>
      </c>
      <c r="B326" t="s">
        <v>682</v>
      </c>
      <c r="C326" t="s">
        <v>681</v>
      </c>
      <c r="D326" t="s">
        <v>680</v>
      </c>
      <c r="E326" t="s">
        <v>22</v>
      </c>
      <c r="F326">
        <v>11.986798506259801</v>
      </c>
      <c r="G326">
        <v>7.3717172290254798</v>
      </c>
      <c r="H326">
        <v>2772.5704818613199</v>
      </c>
      <c r="I326">
        <v>52256.768396225503</v>
      </c>
      <c r="J326">
        <v>3.62174574990897E-3</v>
      </c>
      <c r="K326">
        <v>3.4750553547523298E-3</v>
      </c>
      <c r="L326">
        <v>3.16924519141311E-3</v>
      </c>
      <c r="M326">
        <v>2.8743111490940102E-3</v>
      </c>
      <c r="N326">
        <v>2.6061741372393099E-3</v>
      </c>
      <c r="O326">
        <v>2.2901775129705402E-3</v>
      </c>
      <c r="P326">
        <v>2.0086576005190998E-3</v>
      </c>
      <c r="Q326">
        <v>1.76310502887514E-3</v>
      </c>
      <c r="R326">
        <v>1.5494026935317601E-3</v>
      </c>
      <c r="S326">
        <v>1.3631086719566E-3</v>
      </c>
      <c r="T326">
        <v>1.2012400670488601E-3</v>
      </c>
      <c r="U326">
        <v>1.0612090657383499E-3</v>
      </c>
      <c r="V326">
        <v>9.9614115214947604E-4</v>
      </c>
      <c r="W326">
        <v>9.0654173948487098E-4</v>
      </c>
      <c r="X326">
        <v>8.2596786069735696E-4</v>
      </c>
      <c r="Y326">
        <v>7.5300889557406499E-4</v>
      </c>
      <c r="Z326">
        <v>6.8613770574648704E-4</v>
      </c>
      <c r="AA326">
        <v>6.2469361906161897E-4</v>
      </c>
      <c r="AB326">
        <v>5.6825252563412498E-4</v>
      </c>
      <c r="AC326">
        <v>5.1683981018752195E-4</v>
      </c>
      <c r="AD326">
        <v>4.7004104220690999E-4</v>
      </c>
      <c r="AE326">
        <v>4.2730826992120599E-4</v>
      </c>
      <c r="AF326">
        <v>3.8831765487228E-4</v>
      </c>
      <c r="AG326">
        <v>3.5285977779708798E-4</v>
      </c>
      <c r="AH326">
        <v>3.2060070884869598E-4</v>
      </c>
      <c r="AI326">
        <v>2.9122441266122499E-4</v>
      </c>
      <c r="AJ326">
        <v>2.6457153616200001E-4</v>
      </c>
      <c r="AK326">
        <v>2.40342602345698E-4</v>
      </c>
      <c r="AL326">
        <v>2.18329105285E-4</v>
      </c>
      <c r="AM326">
        <v>1.98355432851199E-4</v>
      </c>
      <c r="AN326">
        <v>1.8023080895878001E-4</v>
      </c>
      <c r="AO326">
        <v>1.63792258003894E-4</v>
      </c>
      <c r="AP326">
        <v>1.4886134906165699E-4</v>
      </c>
      <c r="AQ326">
        <v>1.35268201583952E-4</v>
      </c>
      <c r="AR326">
        <v>1.22946661707334E-4</v>
      </c>
      <c r="AS326">
        <v>1.1179033516752E-4</v>
      </c>
    </row>
    <row r="327" spans="1:45" hidden="1" x14ac:dyDescent="0.3">
      <c r="A327" t="s">
        <v>758</v>
      </c>
      <c r="B327" t="s">
        <v>686</v>
      </c>
      <c r="C327" t="s">
        <v>681</v>
      </c>
      <c r="D327" t="s">
        <v>680</v>
      </c>
      <c r="E327" t="s">
        <v>22</v>
      </c>
      <c r="F327">
        <v>4.1748591583549803</v>
      </c>
      <c r="G327">
        <v>9.8781701836762608</v>
      </c>
      <c r="H327">
        <v>15.236154096828001</v>
      </c>
      <c r="I327">
        <v>287.16751516172002</v>
      </c>
      <c r="J327">
        <v>0.10354866159580001</v>
      </c>
      <c r="K327">
        <v>0.10217345257759999</v>
      </c>
      <c r="L327">
        <v>0.1011204625589</v>
      </c>
      <c r="M327">
        <v>0.1015010220695</v>
      </c>
      <c r="N327">
        <v>0.1022510725916</v>
      </c>
      <c r="O327">
        <v>0.1025873236771</v>
      </c>
      <c r="P327">
        <v>0.10273981578370001</v>
      </c>
      <c r="Q327">
        <v>0.1029937022892</v>
      </c>
      <c r="R327">
        <v>0.1033669932176</v>
      </c>
      <c r="S327">
        <v>0.1038548194039</v>
      </c>
      <c r="T327">
        <v>0.10454500995300001</v>
      </c>
      <c r="U327">
        <v>0.10547836629140001</v>
      </c>
      <c r="V327">
        <v>0.10660791222929999</v>
      </c>
      <c r="W327">
        <v>0.1078941131892</v>
      </c>
      <c r="X327">
        <v>0.10932748404830001</v>
      </c>
      <c r="Y327">
        <v>0.1109430894342</v>
      </c>
      <c r="Z327">
        <v>0.1125617221666</v>
      </c>
      <c r="AA327">
        <v>0.1140601611863</v>
      </c>
      <c r="AB327">
        <v>0.1155172027893</v>
      </c>
      <c r="AC327">
        <v>0.1169980118542</v>
      </c>
      <c r="AD327">
        <v>0.1184955634615</v>
      </c>
      <c r="AE327">
        <v>0.11993513609170001</v>
      </c>
      <c r="AF327">
        <v>0.12133363942769999</v>
      </c>
      <c r="AG327">
        <v>0.1227284285435</v>
      </c>
      <c r="AH327">
        <v>0.1240993904884</v>
      </c>
      <c r="AI327">
        <v>0.12545859824</v>
      </c>
      <c r="AJ327">
        <v>0.1268471480319</v>
      </c>
      <c r="AK327">
        <v>0.128231888578</v>
      </c>
      <c r="AL327">
        <v>0.12963975492919999</v>
      </c>
      <c r="AM327">
        <v>0.1311038511364</v>
      </c>
      <c r="AN327">
        <v>0.1326287605881</v>
      </c>
      <c r="AO327">
        <v>0.13421450617639999</v>
      </c>
      <c r="AP327">
        <v>0.135835301214</v>
      </c>
      <c r="AQ327">
        <v>0.1374422419962</v>
      </c>
      <c r="AR327">
        <v>0.13901645336759999</v>
      </c>
      <c r="AS327">
        <v>0.14060735622439999</v>
      </c>
    </row>
    <row r="328" spans="1:45" hidden="1" x14ac:dyDescent="0.3">
      <c r="A328" t="s">
        <v>758</v>
      </c>
      <c r="B328" t="s">
        <v>685</v>
      </c>
      <c r="C328" t="s">
        <v>681</v>
      </c>
      <c r="D328" t="s">
        <v>680</v>
      </c>
      <c r="E328" t="s">
        <v>22</v>
      </c>
      <c r="F328">
        <v>4.1748591583549803</v>
      </c>
      <c r="G328">
        <v>9.8781701836762608</v>
      </c>
      <c r="H328">
        <v>15.236154096828001</v>
      </c>
      <c r="I328">
        <v>287.16751516172002</v>
      </c>
      <c r="J328">
        <v>0.103011212905392</v>
      </c>
      <c r="K328">
        <v>0.101086198727909</v>
      </c>
      <c r="L328">
        <v>9.9504305355874595E-2</v>
      </c>
      <c r="M328">
        <v>9.9346461280928805E-2</v>
      </c>
      <c r="N328">
        <v>9.9557452382977502E-2</v>
      </c>
      <c r="O328">
        <v>9.9375930861603901E-2</v>
      </c>
      <c r="P328">
        <v>9.9031441599931005E-2</v>
      </c>
      <c r="Q328">
        <v>9.8799340842456299E-2</v>
      </c>
      <c r="R328">
        <v>9.86953521132867E-2</v>
      </c>
      <c r="S328">
        <v>9.8712573974322607E-2</v>
      </c>
      <c r="T328">
        <v>9.8931973601446802E-2</v>
      </c>
      <c r="U328">
        <v>9.9389500445083198E-2</v>
      </c>
      <c r="V328">
        <v>0.100242258320316</v>
      </c>
      <c r="W328">
        <v>0.10145165906907901</v>
      </c>
      <c r="X328">
        <v>0.102799442070566</v>
      </c>
      <c r="Y328">
        <v>0.104318578212064</v>
      </c>
      <c r="Z328">
        <v>0.10584056093449</v>
      </c>
      <c r="AA328">
        <v>0.107249526818438</v>
      </c>
      <c r="AB328">
        <v>0.10861956716251001</v>
      </c>
      <c r="AC328">
        <v>0.11001195579204701</v>
      </c>
      <c r="AD328">
        <v>0.111420087251784</v>
      </c>
      <c r="AE328">
        <v>0.112773701711065</v>
      </c>
      <c r="AF328">
        <v>0.114088699160482</v>
      </c>
      <c r="AG328">
        <v>0.11540020416911199</v>
      </c>
      <c r="AH328">
        <v>0.116689304748555</v>
      </c>
      <c r="AI328">
        <v>0.117967352988106</v>
      </c>
      <c r="AJ328">
        <v>0.119272991228454</v>
      </c>
      <c r="AK328">
        <v>0.120575047676481</v>
      </c>
      <c r="AL328">
        <v>0.121898849067075</v>
      </c>
      <c r="AM328">
        <v>0.12327552277861201</v>
      </c>
      <c r="AN328">
        <v>0.12470937852136001</v>
      </c>
      <c r="AO328">
        <v>0.12620043782051199</v>
      </c>
      <c r="AP328">
        <v>0.127724453734959</v>
      </c>
      <c r="AQ328">
        <v>0.129235442644002</v>
      </c>
      <c r="AR328">
        <v>0.13071565644467401</v>
      </c>
      <c r="AS328">
        <v>0.13221156506720599</v>
      </c>
    </row>
    <row r="329" spans="1:45" hidden="1" x14ac:dyDescent="0.3">
      <c r="A329" t="s">
        <v>758</v>
      </c>
      <c r="B329" t="s">
        <v>684</v>
      </c>
      <c r="C329" t="s">
        <v>681</v>
      </c>
      <c r="D329" t="s">
        <v>680</v>
      </c>
      <c r="E329" t="s">
        <v>22</v>
      </c>
      <c r="F329">
        <v>4.1748591583549803</v>
      </c>
      <c r="G329">
        <v>9.8781701836762608</v>
      </c>
      <c r="H329">
        <v>385.18518179061402</v>
      </c>
      <c r="I329">
        <v>7259.8813866651299</v>
      </c>
      <c r="J329">
        <v>4.3737463415497502E-2</v>
      </c>
      <c r="K329">
        <v>4.3630602398045303E-2</v>
      </c>
      <c r="L329">
        <v>4.08179062702997E-2</v>
      </c>
      <c r="M329">
        <v>3.8101238717644301E-2</v>
      </c>
      <c r="N329">
        <v>3.5579467509061997E-2</v>
      </c>
      <c r="O329">
        <v>3.2137320171712502E-2</v>
      </c>
      <c r="P329">
        <v>2.8991017318233302E-2</v>
      </c>
      <c r="Q329">
        <v>2.6189536378618702E-2</v>
      </c>
      <c r="R329">
        <v>2.37019246708631E-2</v>
      </c>
      <c r="S329">
        <v>2.1488103687535998E-2</v>
      </c>
      <c r="T329">
        <v>1.9526462557321302E-2</v>
      </c>
      <c r="U329">
        <v>1.7799022911307E-2</v>
      </c>
      <c r="V329">
        <v>1.6977679188366401E-2</v>
      </c>
      <c r="W329">
        <v>1.54502472662147E-2</v>
      </c>
      <c r="X329">
        <v>1.4076712922728499E-2</v>
      </c>
      <c r="Y329">
        <v>1.2833016056332899E-2</v>
      </c>
      <c r="Z329">
        <v>1.16931460922273E-2</v>
      </c>
      <c r="AA329">
        <v>1.0645843161524299E-2</v>
      </c>
      <c r="AB329">
        <v>9.6838489715832792E-3</v>
      </c>
      <c r="AC329">
        <v>8.8075832030681395E-3</v>
      </c>
      <c r="AD329">
        <v>8.0099778086373304E-3</v>
      </c>
      <c r="AE329">
        <v>7.2816928550296402E-3</v>
      </c>
      <c r="AF329">
        <v>6.6172010840812E-3</v>
      </c>
      <c r="AG329">
        <v>6.0129282178409101E-3</v>
      </c>
      <c r="AH329">
        <v>5.4631795519838704E-3</v>
      </c>
      <c r="AI329">
        <v>4.9625650879678703E-3</v>
      </c>
      <c r="AJ329">
        <v>4.5083662379688501E-3</v>
      </c>
      <c r="AK329">
        <v>4.0954807352663099E-3</v>
      </c>
      <c r="AL329">
        <v>3.7203521001021099E-3</v>
      </c>
      <c r="AM329">
        <v>3.3799863783880398E-3</v>
      </c>
      <c r="AN329">
        <v>3.07113181287273E-3</v>
      </c>
      <c r="AO329">
        <v>2.7910110573124399E-3</v>
      </c>
      <c r="AP329">
        <v>2.5365834756188501E-3</v>
      </c>
      <c r="AQ329">
        <v>2.3049542169054399E-3</v>
      </c>
      <c r="AR329">
        <v>2.0949919346293501E-3</v>
      </c>
      <c r="AS329">
        <v>1.9048847062561899E-3</v>
      </c>
    </row>
    <row r="330" spans="1:45" hidden="1" x14ac:dyDescent="0.3">
      <c r="A330" t="s">
        <v>758</v>
      </c>
      <c r="B330" t="s">
        <v>682</v>
      </c>
      <c r="C330" t="s">
        <v>681</v>
      </c>
      <c r="D330" t="s">
        <v>680</v>
      </c>
      <c r="E330" t="s">
        <v>22</v>
      </c>
      <c r="F330">
        <v>4.1748591583549803</v>
      </c>
      <c r="G330">
        <v>9.8781701836762608</v>
      </c>
      <c r="H330">
        <v>385.18518179061402</v>
      </c>
      <c r="I330">
        <v>7259.8813866651299</v>
      </c>
      <c r="J330">
        <v>4.3510452828666397E-2</v>
      </c>
      <c r="K330">
        <v>4.3163280659452803E-2</v>
      </c>
      <c r="L330">
        <v>4.01757965163098E-2</v>
      </c>
      <c r="M330">
        <v>3.7315154943201402E-2</v>
      </c>
      <c r="N330">
        <v>3.4672936355877503E-2</v>
      </c>
      <c r="O330">
        <v>3.1168234002083801E-2</v>
      </c>
      <c r="P330">
        <v>2.79820370201431E-2</v>
      </c>
      <c r="Q330">
        <v>2.51571240125852E-2</v>
      </c>
      <c r="R330">
        <v>2.2658966898137199E-2</v>
      </c>
      <c r="S330">
        <v>2.0444954966317801E-2</v>
      </c>
      <c r="T330">
        <v>1.8490726800273801E-2</v>
      </c>
      <c r="U330">
        <v>1.6775767883043202E-2</v>
      </c>
      <c r="V330">
        <v>1.59639267601373E-2</v>
      </c>
      <c r="W330">
        <v>1.45276991659067E-2</v>
      </c>
      <c r="X330">
        <v>1.3236179788100801E-2</v>
      </c>
      <c r="Y330">
        <v>1.20667451753561E-2</v>
      </c>
      <c r="Z330">
        <v>1.09949378675864E-2</v>
      </c>
      <c r="AA330">
        <v>1.00101703327587E-2</v>
      </c>
      <c r="AB330">
        <v>9.1056176773864992E-3</v>
      </c>
      <c r="AC330">
        <v>8.2816745226250293E-3</v>
      </c>
      <c r="AD330">
        <v>7.5316948605691301E-3</v>
      </c>
      <c r="AE330">
        <v>6.8468964537368596E-3</v>
      </c>
      <c r="AF330">
        <v>6.2220820814989797E-3</v>
      </c>
      <c r="AG330">
        <v>5.6538908892418199E-3</v>
      </c>
      <c r="AH330">
        <v>5.1369682085352997E-3</v>
      </c>
      <c r="AI330">
        <v>4.6662458824771698E-3</v>
      </c>
      <c r="AJ330">
        <v>4.2391676525568101E-3</v>
      </c>
      <c r="AK330">
        <v>3.85093591296886E-3</v>
      </c>
      <c r="AL330">
        <v>3.4982065445464399E-3</v>
      </c>
      <c r="AM330">
        <v>3.1781643648809898E-3</v>
      </c>
      <c r="AN330">
        <v>2.8877517820588101E-3</v>
      </c>
      <c r="AO330">
        <v>2.6243572876673898E-3</v>
      </c>
      <c r="AP330">
        <v>2.38512180472235E-3</v>
      </c>
      <c r="AQ330">
        <v>2.1673233364759201E-3</v>
      </c>
      <c r="AR330">
        <v>1.96989809010045E-3</v>
      </c>
      <c r="AS330">
        <v>1.79114233457878E-3</v>
      </c>
    </row>
    <row r="331" spans="1:45" x14ac:dyDescent="0.3">
      <c r="A331" t="s">
        <v>757</v>
      </c>
      <c r="B331" t="s">
        <v>686</v>
      </c>
      <c r="C331" t="s">
        <v>681</v>
      </c>
      <c r="D331" t="s">
        <v>719</v>
      </c>
      <c r="E331" t="s">
        <v>22</v>
      </c>
      <c r="F331">
        <v>-34.397509316627101</v>
      </c>
      <c r="G331">
        <v>999</v>
      </c>
      <c r="H331">
        <v>327.30862937583998</v>
      </c>
      <c r="I331">
        <v>3258.7687389883199</v>
      </c>
      <c r="J331">
        <v>8.1755339499999996E-2</v>
      </c>
      <c r="K331">
        <v>8.4071122799999995E-2</v>
      </c>
      <c r="L331">
        <v>8.5088139500000007E-2</v>
      </c>
      <c r="M331">
        <v>8.6336642500000005E-2</v>
      </c>
      <c r="N331">
        <v>8.7456534200000005E-2</v>
      </c>
      <c r="O331">
        <v>8.8342426099999996E-2</v>
      </c>
      <c r="P331">
        <v>8.8953977700000006E-2</v>
      </c>
      <c r="Q331">
        <v>8.9432380300000003E-2</v>
      </c>
      <c r="R331">
        <v>8.9738845600000006E-2</v>
      </c>
      <c r="S331">
        <v>8.9912776599999994E-2</v>
      </c>
      <c r="T331">
        <v>9.0131241900000006E-2</v>
      </c>
      <c r="U331">
        <v>9.0598574000000001E-2</v>
      </c>
      <c r="V331">
        <v>9.1301864100000005E-2</v>
      </c>
      <c r="W331">
        <v>9.2097228000000003E-2</v>
      </c>
      <c r="X331">
        <v>9.2921589200000002E-2</v>
      </c>
      <c r="Y331">
        <v>9.3782125999999993E-2</v>
      </c>
      <c r="Z331">
        <v>9.4715410099999994E-2</v>
      </c>
      <c r="AA331">
        <v>9.5574083399999996E-2</v>
      </c>
      <c r="AB331">
        <v>9.6380603999999995E-2</v>
      </c>
      <c r="AC331">
        <v>9.7207407300000007E-2</v>
      </c>
      <c r="AD331">
        <v>9.8053280000000007E-2</v>
      </c>
      <c r="AE331">
        <v>9.8876612500000002E-2</v>
      </c>
      <c r="AF331">
        <v>9.9684386900000005E-2</v>
      </c>
      <c r="AG331">
        <v>0.1005448406</v>
      </c>
      <c r="AH331">
        <v>0.1014310075</v>
      </c>
      <c r="AI331">
        <v>0.1023005698</v>
      </c>
      <c r="AJ331">
        <v>0.103193479</v>
      </c>
      <c r="AK331">
        <v>0.10407107779999999</v>
      </c>
      <c r="AL331">
        <v>0.10490496370000001</v>
      </c>
      <c r="AM331">
        <v>0.1057201131</v>
      </c>
      <c r="AN331">
        <v>0.1065230264</v>
      </c>
      <c r="AO331">
        <v>0.1073353289</v>
      </c>
      <c r="AP331">
        <v>0.1081527009</v>
      </c>
      <c r="AQ331">
        <v>0.108931631</v>
      </c>
      <c r="AR331">
        <v>0.1096463543</v>
      </c>
      <c r="AS331">
        <v>0.11037302340000001</v>
      </c>
    </row>
    <row r="332" spans="1:45" x14ac:dyDescent="0.3">
      <c r="A332" t="s">
        <v>757</v>
      </c>
      <c r="B332" t="s">
        <v>685</v>
      </c>
      <c r="C332" t="s">
        <v>681</v>
      </c>
      <c r="D332" t="s">
        <v>719</v>
      </c>
      <c r="E332" t="s">
        <v>22</v>
      </c>
      <c r="F332">
        <v>-34.397509316627101</v>
      </c>
      <c r="G332">
        <v>999</v>
      </c>
      <c r="H332">
        <v>327.30862937583998</v>
      </c>
      <c r="I332">
        <v>3258.7687389883199</v>
      </c>
      <c r="J332">
        <v>8.1755339499999996E-2</v>
      </c>
      <c r="K332">
        <v>8.4071122799999995E-2</v>
      </c>
      <c r="L332">
        <v>8.3526953019222999E-2</v>
      </c>
      <c r="M332">
        <v>8.3234877364912793E-2</v>
      </c>
      <c r="N332">
        <v>8.2776249429867305E-2</v>
      </c>
      <c r="O332">
        <v>8.2065117155097705E-2</v>
      </c>
      <c r="P332">
        <v>8.0868095598539802E-2</v>
      </c>
      <c r="Q332">
        <v>7.95356222709208E-2</v>
      </c>
      <c r="R332">
        <v>7.8112990488038395E-2</v>
      </c>
      <c r="S332">
        <v>7.6837279593829397E-2</v>
      </c>
      <c r="T332">
        <v>7.5479614001899495E-2</v>
      </c>
      <c r="U332">
        <v>7.4388349869221604E-2</v>
      </c>
      <c r="V332">
        <v>7.3991307012267499E-2</v>
      </c>
      <c r="W332">
        <v>7.4389171285865099E-2</v>
      </c>
      <c r="X332">
        <v>7.5013047657003701E-2</v>
      </c>
      <c r="Y332">
        <v>7.5602311304716299E-2</v>
      </c>
      <c r="Z332">
        <v>7.61708982665152E-2</v>
      </c>
      <c r="AA332">
        <v>7.6425603837680295E-2</v>
      </c>
      <c r="AB332">
        <v>7.6881638345280098E-2</v>
      </c>
      <c r="AC332">
        <v>7.7274103876231501E-2</v>
      </c>
      <c r="AD332">
        <v>7.7809659497264497E-2</v>
      </c>
      <c r="AE332">
        <v>7.8430501462047997E-2</v>
      </c>
      <c r="AF332">
        <v>7.8973811893319104E-2</v>
      </c>
      <c r="AG332">
        <v>7.95914581310109E-2</v>
      </c>
      <c r="AH332">
        <v>8.0262268355741198E-2</v>
      </c>
      <c r="AI332">
        <v>8.0886247469939901E-2</v>
      </c>
      <c r="AJ332">
        <v>8.1492754069848405E-2</v>
      </c>
      <c r="AK332">
        <v>8.2060901097296995E-2</v>
      </c>
      <c r="AL332">
        <v>8.2608285770042894E-2</v>
      </c>
      <c r="AM332">
        <v>8.3143102388960499E-2</v>
      </c>
      <c r="AN332">
        <v>8.3663758603291796E-2</v>
      </c>
      <c r="AO332">
        <v>8.4208709625727601E-2</v>
      </c>
      <c r="AP332">
        <v>8.48210149974052E-2</v>
      </c>
      <c r="AQ332">
        <v>8.5354471082688302E-2</v>
      </c>
      <c r="AR332">
        <v>8.5870645321247593E-2</v>
      </c>
      <c r="AS332">
        <v>8.6348351767597004E-2</v>
      </c>
    </row>
    <row r="333" spans="1:45" x14ac:dyDescent="0.3">
      <c r="A333" t="s">
        <v>757</v>
      </c>
      <c r="B333" t="s">
        <v>684</v>
      </c>
      <c r="C333" t="s">
        <v>681</v>
      </c>
      <c r="D333" t="s">
        <v>719</v>
      </c>
      <c r="E333" t="s">
        <v>22</v>
      </c>
      <c r="F333">
        <v>-34.397509316627101</v>
      </c>
      <c r="G333">
        <v>999</v>
      </c>
      <c r="H333">
        <v>999</v>
      </c>
      <c r="I333">
        <v>999</v>
      </c>
      <c r="J333">
        <v>9.6877600000001507E-5</v>
      </c>
      <c r="K333">
        <v>-2.2992026060819601E-18</v>
      </c>
      <c r="L333">
        <v>5.5879354476928703E-18</v>
      </c>
      <c r="M333">
        <v>4.0745362639427198E-19</v>
      </c>
      <c r="N333">
        <v>-1.37370079755783E-17</v>
      </c>
      <c r="O333">
        <v>1.57160684466362E-18</v>
      </c>
      <c r="P333">
        <v>1.7171259969472899E-17</v>
      </c>
      <c r="Q333">
        <v>2.4621840566396699E-17</v>
      </c>
      <c r="R333">
        <v>-7.4505805969238301E-18</v>
      </c>
      <c r="S333">
        <v>2.4214386940002399E-17</v>
      </c>
      <c r="T333">
        <v>5.9371814131736802E-18</v>
      </c>
      <c r="U333">
        <v>-2.7939677238464402E-18</v>
      </c>
      <c r="V333">
        <v>1.37370079755783E-17</v>
      </c>
      <c r="W333">
        <v>1.03609636425972E-17</v>
      </c>
      <c r="X333">
        <v>-2.8172507882118197E-17</v>
      </c>
      <c r="Y333">
        <v>-1.32713466882706E-17</v>
      </c>
      <c r="Z333">
        <v>-2.4214386940002399E-17</v>
      </c>
      <c r="AA333">
        <v>-3.2596290111541801E-18</v>
      </c>
      <c r="AB333">
        <v>3.7252902984619097E-18</v>
      </c>
      <c r="AC333">
        <v>-4.9592927098274197E-17</v>
      </c>
      <c r="AD333">
        <v>-1.8393620848655699E-17</v>
      </c>
      <c r="AE333">
        <v>9.7788870334625303E-18</v>
      </c>
      <c r="AF333">
        <v>-2.8870999813079803E-17</v>
      </c>
      <c r="AG333">
        <v>-5.5879354476928703E-18</v>
      </c>
      <c r="AH333">
        <v>5.1222741603851299E-18</v>
      </c>
      <c r="AI333">
        <v>2.09547579288483E-17</v>
      </c>
      <c r="AJ333">
        <v>-1.02445483207703E-17</v>
      </c>
      <c r="AK333">
        <v>-1.0710209608078E-17</v>
      </c>
      <c r="AL333">
        <v>1.5832483768463101E-17</v>
      </c>
      <c r="AM333">
        <v>1.02445483207703E-17</v>
      </c>
      <c r="AN333">
        <v>7.4505805969238301E-18</v>
      </c>
      <c r="AO333">
        <v>-6.0535967350006099E-18</v>
      </c>
      <c r="AP333">
        <v>4.6566128730773904E-18</v>
      </c>
      <c r="AQ333">
        <v>2.4680048227310201E-17</v>
      </c>
      <c r="AR333">
        <v>1.6298145055770901E-18</v>
      </c>
      <c r="AS333">
        <v>-1.8626451492309602E-17</v>
      </c>
    </row>
    <row r="334" spans="1:45" x14ac:dyDescent="0.3">
      <c r="A334" t="s">
        <v>757</v>
      </c>
      <c r="B334" t="s">
        <v>682</v>
      </c>
      <c r="C334" t="s">
        <v>681</v>
      </c>
      <c r="D334" t="s">
        <v>719</v>
      </c>
      <c r="E334" t="s">
        <v>22</v>
      </c>
      <c r="F334">
        <v>-34.397509316627101</v>
      </c>
      <c r="G334">
        <v>999</v>
      </c>
      <c r="H334">
        <v>999</v>
      </c>
      <c r="I334">
        <v>999</v>
      </c>
      <c r="J334">
        <v>9.6877600000001507E-5</v>
      </c>
      <c r="K334">
        <v>-2.2992026060819601E-18</v>
      </c>
      <c r="L334">
        <v>1.29512045532465E-17</v>
      </c>
      <c r="M334">
        <v>2.7648638933897E-18</v>
      </c>
      <c r="N334">
        <v>2.3981556296348599E-17</v>
      </c>
      <c r="O334">
        <v>-1.33877620100975E-17</v>
      </c>
      <c r="P334">
        <v>-1.33877620100975E-18</v>
      </c>
      <c r="Q334">
        <v>-2.1012965589761701E-17</v>
      </c>
      <c r="R334">
        <v>-4.0745362639427198E-19</v>
      </c>
      <c r="S334">
        <v>1.3504177331924401E-17</v>
      </c>
      <c r="T334">
        <v>-7.79982656240463E-18</v>
      </c>
      <c r="U334">
        <v>-4.1211023926734902E-17</v>
      </c>
      <c r="V334">
        <v>-6.6356733441352799E-18</v>
      </c>
      <c r="W334">
        <v>-4.6566128730773904E-18</v>
      </c>
      <c r="X334">
        <v>-5.8207660913467399E-19</v>
      </c>
      <c r="Y334">
        <v>-1.02445483207703E-17</v>
      </c>
      <c r="Z334">
        <v>2.09547579288483E-18</v>
      </c>
      <c r="AA334">
        <v>3.1432136893272401E-17</v>
      </c>
      <c r="AB334">
        <v>1.9092112779617299E-17</v>
      </c>
      <c r="AC334">
        <v>2.3283064365387002E-18</v>
      </c>
      <c r="AD334">
        <v>-1.3969838619232201E-18</v>
      </c>
      <c r="AE334">
        <v>-1.1641532182693499E-17</v>
      </c>
      <c r="AF334">
        <v>2.3283064365386998E-19</v>
      </c>
      <c r="AG334">
        <v>-2.23517417907715E-17</v>
      </c>
      <c r="AH334">
        <v>0</v>
      </c>
      <c r="AI334">
        <v>1.8626451492309602E-17</v>
      </c>
      <c r="AJ334">
        <v>-2.3981556296348599E-17</v>
      </c>
      <c r="AK334">
        <v>2.3283064365386998E-19</v>
      </c>
      <c r="AL334">
        <v>-1.00117176771164E-17</v>
      </c>
      <c r="AM334">
        <v>1.37370079755783E-17</v>
      </c>
      <c r="AN334">
        <v>8.3819031715393093E-18</v>
      </c>
      <c r="AO334">
        <v>-3.7252902984619097E-18</v>
      </c>
      <c r="AP334">
        <v>-3.5390257835388199E-17</v>
      </c>
      <c r="AQ334">
        <v>1.2572854757309E-17</v>
      </c>
      <c r="AR334">
        <v>-1.8626451492309598E-18</v>
      </c>
      <c r="AS334">
        <v>1.6530975699424701E-17</v>
      </c>
    </row>
    <row r="335" spans="1:45" hidden="1" x14ac:dyDescent="0.3">
      <c r="A335" t="s">
        <v>756</v>
      </c>
      <c r="B335" t="s">
        <v>686</v>
      </c>
      <c r="C335" t="s">
        <v>681</v>
      </c>
      <c r="D335" t="s">
        <v>680</v>
      </c>
      <c r="E335" t="s">
        <v>22</v>
      </c>
      <c r="F335">
        <v>999</v>
      </c>
      <c r="G335">
        <v>0</v>
      </c>
      <c r="H335">
        <v>-1.2464813447376499</v>
      </c>
      <c r="I335">
        <v>-11.184752677474201</v>
      </c>
      <c r="J335">
        <v>0.1141716042524</v>
      </c>
      <c r="K335">
        <v>0.1123541622432</v>
      </c>
      <c r="L335">
        <v>0.11092353649809999</v>
      </c>
      <c r="M335">
        <v>0.1107798461882</v>
      </c>
      <c r="N335">
        <v>0.11097512410469999</v>
      </c>
      <c r="O335">
        <v>0.1107830268561</v>
      </c>
      <c r="P335">
        <v>0.1104975271623</v>
      </c>
      <c r="Q335">
        <v>0.11036766747020001</v>
      </c>
      <c r="R335">
        <v>0.1104035249279</v>
      </c>
      <c r="S335">
        <v>0.110597295055</v>
      </c>
      <c r="T335">
        <v>0.1110324105873</v>
      </c>
      <c r="U335">
        <v>0.1117440376137</v>
      </c>
      <c r="V335">
        <v>0.11268692688119999</v>
      </c>
      <c r="W335">
        <v>0.11382120650579999</v>
      </c>
      <c r="X335">
        <v>0.1151376803855</v>
      </c>
      <c r="Y335">
        <v>0.1166722550088</v>
      </c>
      <c r="Z335">
        <v>0.1182042969322</v>
      </c>
      <c r="AA335">
        <v>0.1196094771237</v>
      </c>
      <c r="AB335">
        <v>0.1209693132617</v>
      </c>
      <c r="AC335">
        <v>0.12235099873620001</v>
      </c>
      <c r="AD335">
        <v>0.1237488502231</v>
      </c>
      <c r="AE335">
        <v>0.12508811431889999</v>
      </c>
      <c r="AF335">
        <v>0.12638855441890001</v>
      </c>
      <c r="AG335">
        <v>0.12768835790300001</v>
      </c>
      <c r="AH335">
        <v>0.1289688798093</v>
      </c>
      <c r="AI335">
        <v>0.13024377865190001</v>
      </c>
      <c r="AJ335">
        <v>0.13155626124719999</v>
      </c>
      <c r="AK335">
        <v>0.1328732741509</v>
      </c>
      <c r="AL335">
        <v>0.13422141264820001</v>
      </c>
      <c r="AM335">
        <v>0.1356342023546</v>
      </c>
      <c r="AN335">
        <v>0.13711610135659999</v>
      </c>
      <c r="AO335">
        <v>0.1386664322118</v>
      </c>
      <c r="AP335">
        <v>0.1402578120289</v>
      </c>
      <c r="AQ335">
        <v>0.1418388232691</v>
      </c>
      <c r="AR335">
        <v>0.14339112650159999</v>
      </c>
      <c r="AS335">
        <v>0.14496366097300001</v>
      </c>
    </row>
    <row r="336" spans="1:45" hidden="1" x14ac:dyDescent="0.3">
      <c r="A336" t="s">
        <v>756</v>
      </c>
      <c r="B336" t="s">
        <v>685</v>
      </c>
      <c r="C336" t="s">
        <v>681</v>
      </c>
      <c r="D336" t="s">
        <v>680</v>
      </c>
      <c r="E336" t="s">
        <v>22</v>
      </c>
      <c r="F336">
        <v>999</v>
      </c>
      <c r="G336">
        <v>0</v>
      </c>
      <c r="H336">
        <v>-1.2464813447376499</v>
      </c>
      <c r="I336">
        <v>-11.184752677474201</v>
      </c>
      <c r="J336">
        <v>0.113625677545357</v>
      </c>
      <c r="K336">
        <v>0.111252741151219</v>
      </c>
      <c r="L336">
        <v>0.10902135830263</v>
      </c>
      <c r="M336">
        <v>0.10794574779541299</v>
      </c>
      <c r="N336">
        <v>0.10711575794733499</v>
      </c>
      <c r="O336">
        <v>0.105744945401178</v>
      </c>
      <c r="P336">
        <v>0.103856840387595</v>
      </c>
      <c r="Q336">
        <v>0.102035515000064</v>
      </c>
      <c r="R336">
        <v>0.10038265789138601</v>
      </c>
      <c r="S336">
        <v>9.9154296756700594E-2</v>
      </c>
      <c r="T336">
        <v>9.7866008776658395E-2</v>
      </c>
      <c r="U336">
        <v>9.6826296699027994E-2</v>
      </c>
      <c r="V336">
        <v>9.6548767497898605E-2</v>
      </c>
      <c r="W336">
        <v>9.7028517436454506E-2</v>
      </c>
      <c r="X336">
        <v>9.7925249982194804E-2</v>
      </c>
      <c r="Y336">
        <v>9.8905826098832597E-2</v>
      </c>
      <c r="Z336">
        <v>9.9782713213689395E-2</v>
      </c>
      <c r="AA336">
        <v>0.100220343823267</v>
      </c>
      <c r="AB336">
        <v>0.10095529958724</v>
      </c>
      <c r="AC336">
        <v>0.101612300116128</v>
      </c>
      <c r="AD336">
        <v>0.102462032125869</v>
      </c>
      <c r="AE336">
        <v>0.10336181264564299</v>
      </c>
      <c r="AF336">
        <v>0.10408894264028801</v>
      </c>
      <c r="AG336">
        <v>0.10486780738335</v>
      </c>
      <c r="AH336">
        <v>0.105684012252133</v>
      </c>
      <c r="AI336">
        <v>0.106459312454941</v>
      </c>
      <c r="AJ336">
        <v>0.10722666323166501</v>
      </c>
      <c r="AK336">
        <v>0.107971636549239</v>
      </c>
      <c r="AL336">
        <v>0.108768587564711</v>
      </c>
      <c r="AM336">
        <v>0.10962892140529901</v>
      </c>
      <c r="AN336">
        <v>0.11054612478753501</v>
      </c>
      <c r="AO336">
        <v>0.111547544228809</v>
      </c>
      <c r="AP336">
        <v>0.112672271168197</v>
      </c>
      <c r="AQ336">
        <v>0.113729617555225</v>
      </c>
      <c r="AR336">
        <v>0.11481344747614999</v>
      </c>
      <c r="AS336">
        <v>0.115854399443598</v>
      </c>
    </row>
    <row r="337" spans="1:45" hidden="1" x14ac:dyDescent="0.3">
      <c r="A337" t="s">
        <v>756</v>
      </c>
      <c r="B337" t="s">
        <v>684</v>
      </c>
      <c r="C337" t="s">
        <v>681</v>
      </c>
      <c r="D337" t="s">
        <v>680</v>
      </c>
      <c r="E337" t="s">
        <v>22</v>
      </c>
      <c r="F337">
        <v>999</v>
      </c>
      <c r="G337">
        <v>0</v>
      </c>
      <c r="H337">
        <v>-23.239420726734799</v>
      </c>
      <c r="I337">
        <v>-204.482368870177</v>
      </c>
      <c r="J337">
        <v>6.6715418054033498E-2</v>
      </c>
      <c r="K337">
        <v>6.5052143217923505E-2</v>
      </c>
      <c r="L337">
        <v>6.1133155542804997E-2</v>
      </c>
      <c r="M337">
        <v>5.7273074668477301E-2</v>
      </c>
      <c r="N337">
        <v>5.3730156283891502E-2</v>
      </c>
      <c r="O337">
        <v>4.8142848116677101E-2</v>
      </c>
      <c r="P337">
        <v>4.3149722109416103E-2</v>
      </c>
      <c r="Q337">
        <v>3.8757245541418003E-2</v>
      </c>
      <c r="R337">
        <v>3.4897587423003397E-2</v>
      </c>
      <c r="S337">
        <v>3.1496055650624001E-2</v>
      </c>
      <c r="T337">
        <v>2.8505584920602602E-2</v>
      </c>
      <c r="U337">
        <v>2.58887730863516E-2</v>
      </c>
      <c r="V337">
        <v>2.46052029202889E-2</v>
      </c>
      <c r="W337">
        <v>2.2308558379292E-2</v>
      </c>
      <c r="X337">
        <v>2.0272038673103E-2</v>
      </c>
      <c r="Y337">
        <v>1.8428235709459201E-2</v>
      </c>
      <c r="Z337">
        <v>1.67548763631854E-2</v>
      </c>
      <c r="AA337">
        <v>1.5210686014110301E-2</v>
      </c>
      <c r="AB337">
        <v>1.3797102819158301E-2</v>
      </c>
      <c r="AC337">
        <v>1.26011755148127E-2</v>
      </c>
      <c r="AD337">
        <v>1.14251922847893E-2</v>
      </c>
      <c r="AE337">
        <v>1.03555978194918E-2</v>
      </c>
      <c r="AF337">
        <v>9.3837049547890704E-3</v>
      </c>
      <c r="AG337">
        <v>8.5032589210343301E-3</v>
      </c>
      <c r="AH337">
        <v>7.7053477296932897E-3</v>
      </c>
      <c r="AI337">
        <v>6.9858213019468899E-3</v>
      </c>
      <c r="AJ337">
        <v>6.3309344782300101E-3</v>
      </c>
      <c r="AK337">
        <v>5.7377271138719403E-3</v>
      </c>
      <c r="AL337">
        <v>5.2037430426570396E-3</v>
      </c>
      <c r="AM337">
        <v>4.7174653618404202E-3</v>
      </c>
      <c r="AN337">
        <v>4.2801948856744402E-3</v>
      </c>
      <c r="AO337">
        <v>3.8819184488680901E-3</v>
      </c>
      <c r="AP337">
        <v>3.5362258628188E-3</v>
      </c>
      <c r="AQ337">
        <v>3.2067137298088699E-3</v>
      </c>
      <c r="AR337">
        <v>2.9236797806310201E-3</v>
      </c>
      <c r="AS337">
        <v>2.65625687469828E-3</v>
      </c>
    </row>
    <row r="338" spans="1:45" hidden="1" x14ac:dyDescent="0.3">
      <c r="A338" t="s">
        <v>756</v>
      </c>
      <c r="B338" t="s">
        <v>682</v>
      </c>
      <c r="C338" t="s">
        <v>681</v>
      </c>
      <c r="D338" t="s">
        <v>680</v>
      </c>
      <c r="E338" t="s">
        <v>22</v>
      </c>
      <c r="F338">
        <v>999</v>
      </c>
      <c r="G338">
        <v>0</v>
      </c>
      <c r="H338">
        <v>-23.239420726734799</v>
      </c>
      <c r="I338">
        <v>-204.482368870177</v>
      </c>
      <c r="J338">
        <v>6.6396409411510302E-2</v>
      </c>
      <c r="K338">
        <v>6.4417253084344206E-2</v>
      </c>
      <c r="L338">
        <v>6.0105049345636999E-2</v>
      </c>
      <c r="M338">
        <v>5.5847910081671101E-2</v>
      </c>
      <c r="N338">
        <v>5.1916897436482597E-2</v>
      </c>
      <c r="O338">
        <v>4.6027808263605599E-2</v>
      </c>
      <c r="P338">
        <v>4.0643198009693002E-2</v>
      </c>
      <c r="Q338">
        <v>3.5919187317150103E-2</v>
      </c>
      <c r="R338">
        <v>3.1808577771005202E-2</v>
      </c>
      <c r="S338">
        <v>2.8297206218629498E-2</v>
      </c>
      <c r="T338">
        <v>2.5163624821892001E-2</v>
      </c>
      <c r="U338">
        <v>2.2445931279710798E-2</v>
      </c>
      <c r="V338">
        <v>2.1081434037988001E-2</v>
      </c>
      <c r="W338">
        <v>1.9017250055041301E-2</v>
      </c>
      <c r="X338">
        <v>1.7241483831059699E-2</v>
      </c>
      <c r="Y338">
        <v>1.5622050643065001E-2</v>
      </c>
      <c r="Z338">
        <v>1.4143707686341499E-2</v>
      </c>
      <c r="AA338">
        <v>1.2744978230657599E-2</v>
      </c>
      <c r="AB338">
        <v>1.15144131266643E-2</v>
      </c>
      <c r="AC338">
        <v>1.0465255220252699E-2</v>
      </c>
      <c r="AD338">
        <v>9.4598730963384291E-3</v>
      </c>
      <c r="AE338">
        <v>8.5569549711423994E-3</v>
      </c>
      <c r="AF338">
        <v>7.7280726192589296E-3</v>
      </c>
      <c r="AG338">
        <v>6.9835506800015297E-3</v>
      </c>
      <c r="AH338">
        <v>6.3141749007664403E-3</v>
      </c>
      <c r="AI338">
        <v>5.7101056222119504E-3</v>
      </c>
      <c r="AJ338">
        <v>5.1601115203731996E-3</v>
      </c>
      <c r="AK338">
        <v>4.6624258378260503E-3</v>
      </c>
      <c r="AL338">
        <v>4.2169410203051101E-3</v>
      </c>
      <c r="AM338">
        <v>3.81298102106533E-3</v>
      </c>
      <c r="AN338">
        <v>3.4507906311905799E-3</v>
      </c>
      <c r="AO338">
        <v>3.1227346298659301E-3</v>
      </c>
      <c r="AP338">
        <v>2.8407301779769102E-3</v>
      </c>
      <c r="AQ338">
        <v>2.5712165237605101E-3</v>
      </c>
      <c r="AR338">
        <v>2.3409939172687501E-3</v>
      </c>
      <c r="AS338">
        <v>2.1228702622474501E-3</v>
      </c>
    </row>
    <row r="339" spans="1:45" hidden="1" x14ac:dyDescent="0.3">
      <c r="A339" t="s">
        <v>755</v>
      </c>
      <c r="B339" t="s">
        <v>686</v>
      </c>
      <c r="C339" t="s">
        <v>681</v>
      </c>
      <c r="D339" t="s">
        <v>680</v>
      </c>
      <c r="E339" t="s">
        <v>20</v>
      </c>
      <c r="F339">
        <v>999</v>
      </c>
      <c r="G339">
        <v>999</v>
      </c>
      <c r="H339">
        <v>999</v>
      </c>
      <c r="I339">
        <v>999</v>
      </c>
      <c r="J339">
        <v>0.16736308403399999</v>
      </c>
      <c r="K339">
        <v>0.1070706584223</v>
      </c>
      <c r="L339">
        <v>9.1647991647872698E-2</v>
      </c>
      <c r="M339">
        <v>8.4251945083835197E-2</v>
      </c>
      <c r="N339">
        <v>7.6498745917844002E-2</v>
      </c>
      <c r="O339">
        <v>6.5754951994492897E-2</v>
      </c>
      <c r="P339">
        <v>6.0611971446839802E-2</v>
      </c>
      <c r="Q339">
        <v>5.75209680172011E-2</v>
      </c>
      <c r="R339">
        <v>5.5538135202848601E-2</v>
      </c>
      <c r="S339">
        <v>5.4627213856871998E-2</v>
      </c>
      <c r="T339">
        <v>5.4024366036263302E-2</v>
      </c>
      <c r="U339">
        <v>5.3492781381375303E-2</v>
      </c>
      <c r="V339">
        <v>5.3277133614401298E-2</v>
      </c>
      <c r="W339">
        <v>5.32607717407707E-2</v>
      </c>
      <c r="X339">
        <v>5.3450424874967498E-2</v>
      </c>
      <c r="Y339">
        <v>5.3668015223659798E-2</v>
      </c>
      <c r="Z339">
        <v>5.3843054644051903E-2</v>
      </c>
      <c r="AA339">
        <v>5.3827495425434399E-2</v>
      </c>
      <c r="AB339">
        <v>5.4002796094309503E-2</v>
      </c>
      <c r="AC339">
        <v>5.4180990672116701E-2</v>
      </c>
      <c r="AD339">
        <v>5.4589877560362599E-2</v>
      </c>
      <c r="AE339">
        <v>5.5059270543691703E-2</v>
      </c>
      <c r="AF339">
        <v>5.54442398572794E-2</v>
      </c>
      <c r="AG339">
        <v>5.5851807954587697E-2</v>
      </c>
      <c r="AH339">
        <v>5.6319679782168598E-2</v>
      </c>
      <c r="AI339">
        <v>5.60142903681069E-2</v>
      </c>
      <c r="AJ339">
        <v>5.5727729131503499E-2</v>
      </c>
      <c r="AK339">
        <v>5.5532268402628003E-2</v>
      </c>
      <c r="AL339">
        <v>5.54325887785364E-2</v>
      </c>
      <c r="AM339">
        <v>5.5407642479213898E-2</v>
      </c>
      <c r="AN339">
        <v>5.5412805220795197E-2</v>
      </c>
      <c r="AO339">
        <v>5.5457852311117897E-2</v>
      </c>
      <c r="AP339">
        <v>5.55687954387898E-2</v>
      </c>
      <c r="AQ339">
        <v>5.5663672517681402E-2</v>
      </c>
      <c r="AR339">
        <v>5.5831580590349303E-2</v>
      </c>
      <c r="AS339">
        <v>5.6020753266133601E-2</v>
      </c>
    </row>
    <row r="340" spans="1:45" hidden="1" x14ac:dyDescent="0.3">
      <c r="A340" t="s">
        <v>755</v>
      </c>
      <c r="B340" t="s">
        <v>685</v>
      </c>
      <c r="C340" t="s">
        <v>681</v>
      </c>
      <c r="D340" t="s">
        <v>680</v>
      </c>
      <c r="E340" t="s">
        <v>20</v>
      </c>
      <c r="F340">
        <v>999</v>
      </c>
      <c r="G340">
        <v>999</v>
      </c>
      <c r="H340">
        <v>999</v>
      </c>
      <c r="I340">
        <v>999</v>
      </c>
      <c r="J340">
        <v>0.16736308403399999</v>
      </c>
      <c r="K340">
        <v>4.5784943839296301E-2</v>
      </c>
      <c r="L340">
        <v>4.3364068186159802E-2</v>
      </c>
      <c r="M340">
        <v>4.3361184678787502E-2</v>
      </c>
      <c r="N340">
        <v>4.4605343737522798E-2</v>
      </c>
      <c r="O340">
        <v>4.9785102227966602E-2</v>
      </c>
      <c r="P340">
        <v>5.4172327994498802E-2</v>
      </c>
      <c r="Q340">
        <v>5.8760667359633499E-2</v>
      </c>
      <c r="R340">
        <v>6.2510084336597702E-2</v>
      </c>
      <c r="S340">
        <v>6.4439112156387604E-2</v>
      </c>
      <c r="T340">
        <v>6.4806828860524204E-2</v>
      </c>
      <c r="U340">
        <v>6.5163786131584897E-2</v>
      </c>
      <c r="V340">
        <v>6.5886501257741106E-2</v>
      </c>
      <c r="W340">
        <v>6.6851193993555394E-2</v>
      </c>
      <c r="X340">
        <v>6.8086688267772005E-2</v>
      </c>
      <c r="Y340">
        <v>6.9688721282107097E-2</v>
      </c>
      <c r="Z340">
        <v>7.1024549205780205E-2</v>
      </c>
      <c r="AA340">
        <v>7.2099341771470302E-2</v>
      </c>
      <c r="AB340">
        <v>7.3425135207350195E-2</v>
      </c>
      <c r="AC340">
        <v>7.4747359979886699E-2</v>
      </c>
      <c r="AD340">
        <v>7.6354753957996804E-2</v>
      </c>
      <c r="AE340">
        <v>7.80441698781386E-2</v>
      </c>
      <c r="AF340">
        <v>7.96136782724291E-2</v>
      </c>
      <c r="AG340">
        <v>8.1215540903822894E-2</v>
      </c>
      <c r="AH340">
        <v>8.2908653039395402E-2</v>
      </c>
      <c r="AI340">
        <v>8.29258727858809E-2</v>
      </c>
      <c r="AJ340">
        <v>8.4227638712814704E-2</v>
      </c>
      <c r="AK340">
        <v>8.5642581134628901E-2</v>
      </c>
      <c r="AL340">
        <v>8.7185970131291604E-2</v>
      </c>
      <c r="AM340">
        <v>8.8835337666657299E-2</v>
      </c>
      <c r="AN340">
        <v>9.0524032183618E-2</v>
      </c>
      <c r="AO340">
        <v>9.2268257258339703E-2</v>
      </c>
      <c r="AP340">
        <v>9.3713811667416796E-2</v>
      </c>
      <c r="AQ340">
        <v>9.4898476348461297E-2</v>
      </c>
      <c r="AR340">
        <v>9.6191276229463704E-2</v>
      </c>
      <c r="AS340">
        <v>9.7510365569681803E-2</v>
      </c>
    </row>
    <row r="341" spans="1:45" hidden="1" x14ac:dyDescent="0.3">
      <c r="A341" t="s">
        <v>755</v>
      </c>
      <c r="B341" t="s">
        <v>684</v>
      </c>
      <c r="C341" t="s">
        <v>681</v>
      </c>
      <c r="D341" t="s">
        <v>680</v>
      </c>
      <c r="E341" t="s">
        <v>20</v>
      </c>
      <c r="F341">
        <v>999</v>
      </c>
      <c r="G341">
        <v>999</v>
      </c>
      <c r="H341">
        <v>999</v>
      </c>
      <c r="I341">
        <v>999</v>
      </c>
      <c r="J341">
        <v>2.1923967978350001E-2</v>
      </c>
      <c r="K341">
        <v>3.8257329641401501E-2</v>
      </c>
      <c r="L341">
        <v>3.2576786236301301E-2</v>
      </c>
      <c r="M341">
        <v>2.9508369346088199E-2</v>
      </c>
      <c r="N341">
        <v>2.6280283776227799E-2</v>
      </c>
      <c r="O341">
        <v>2.1027307636739299E-2</v>
      </c>
      <c r="P341">
        <v>1.8001355284474E-2</v>
      </c>
      <c r="Q341">
        <v>1.57645756986129E-2</v>
      </c>
      <c r="R341">
        <v>1.40812014609107E-2</v>
      </c>
      <c r="S341">
        <v>1.3065230825843601E-2</v>
      </c>
      <c r="T341">
        <v>1.26000757848599E-2</v>
      </c>
      <c r="U341">
        <v>1.18653610756317E-2</v>
      </c>
      <c r="V341">
        <v>1.12586560340586E-2</v>
      </c>
      <c r="W341">
        <v>1.1110744333474301E-2</v>
      </c>
      <c r="X341">
        <v>1.06601777666205E-2</v>
      </c>
      <c r="Y341">
        <v>1.03005788057227E-2</v>
      </c>
      <c r="Z341">
        <v>1.02012523583077E-2</v>
      </c>
      <c r="AA341">
        <v>1.0071848381286301E-2</v>
      </c>
      <c r="AB341">
        <v>9.9818837059329896E-3</v>
      </c>
      <c r="AC341">
        <v>9.8931819734377705E-3</v>
      </c>
      <c r="AD341">
        <v>9.8422241204791493E-3</v>
      </c>
      <c r="AE341">
        <v>9.8042670394937192E-3</v>
      </c>
      <c r="AF341">
        <v>9.7533586242576908E-3</v>
      </c>
      <c r="AG341">
        <v>9.6565634556811802E-3</v>
      </c>
      <c r="AH341">
        <v>9.6272771436937497E-3</v>
      </c>
      <c r="AI341">
        <v>9.3351470495855304E-3</v>
      </c>
      <c r="AJ341">
        <v>9.2174260125712504E-3</v>
      </c>
      <c r="AK341">
        <v>9.11603099789513E-3</v>
      </c>
      <c r="AL341">
        <v>9.0027105466198108E-3</v>
      </c>
      <c r="AM341">
        <v>8.8402148829357392E-3</v>
      </c>
      <c r="AN341">
        <v>8.6902126539837293E-3</v>
      </c>
      <c r="AO341">
        <v>8.5707801215167793E-3</v>
      </c>
      <c r="AP341">
        <v>8.4971352195510694E-3</v>
      </c>
      <c r="AQ341">
        <v>8.3857564281604405E-3</v>
      </c>
      <c r="AR341">
        <v>8.2963630266941792E-3</v>
      </c>
      <c r="AS341">
        <v>8.21952278906855E-3</v>
      </c>
    </row>
    <row r="342" spans="1:45" hidden="1" x14ac:dyDescent="0.3">
      <c r="A342" t="s">
        <v>755</v>
      </c>
      <c r="B342" t="s">
        <v>682</v>
      </c>
      <c r="C342" t="s">
        <v>681</v>
      </c>
      <c r="D342" t="s">
        <v>680</v>
      </c>
      <c r="E342" t="s">
        <v>20</v>
      </c>
      <c r="F342">
        <v>999</v>
      </c>
      <c r="G342">
        <v>999</v>
      </c>
      <c r="H342">
        <v>999</v>
      </c>
      <c r="I342">
        <v>999</v>
      </c>
      <c r="J342">
        <v>2.1923967978350001E-2</v>
      </c>
      <c r="K342">
        <v>1.55094426646093E-2</v>
      </c>
      <c r="L342">
        <v>1.4642586445942201E-2</v>
      </c>
      <c r="M342">
        <v>1.4362359627995499E-2</v>
      </c>
      <c r="N342">
        <v>1.44788253826199E-2</v>
      </c>
      <c r="O342">
        <v>1.50314142068555E-2</v>
      </c>
      <c r="P342">
        <v>1.5356764904303899E-2</v>
      </c>
      <c r="Q342">
        <v>1.5708929864328501E-2</v>
      </c>
      <c r="R342">
        <v>1.58584905765667E-2</v>
      </c>
      <c r="S342">
        <v>1.5641842319750798E-2</v>
      </c>
      <c r="T342">
        <v>1.5367214135316699E-2</v>
      </c>
      <c r="U342">
        <v>1.47329446098662E-2</v>
      </c>
      <c r="V342">
        <v>1.4232268652753399E-2</v>
      </c>
      <c r="W342">
        <v>1.42742940439868E-2</v>
      </c>
      <c r="X342">
        <v>1.3940479155322E-2</v>
      </c>
      <c r="Y342">
        <v>1.37568384168789E-2</v>
      </c>
      <c r="Z342">
        <v>1.3854149506611299E-2</v>
      </c>
      <c r="AA342">
        <v>1.3904086399863499E-2</v>
      </c>
      <c r="AB342">
        <v>1.4002752749238401E-2</v>
      </c>
      <c r="AC342">
        <v>1.40972508905168E-2</v>
      </c>
      <c r="AD342">
        <v>1.42358760073951E-2</v>
      </c>
      <c r="AE342">
        <v>1.43884903754594E-2</v>
      </c>
      <c r="AF342">
        <v>1.4517656693465299E-2</v>
      </c>
      <c r="AG342">
        <v>1.4566640484315E-2</v>
      </c>
      <c r="AH342">
        <v>1.4718830329823299E-2</v>
      </c>
      <c r="AI342">
        <v>1.44028950152884E-2</v>
      </c>
      <c r="AJ342">
        <v>1.45304890920121E-2</v>
      </c>
      <c r="AK342">
        <v>1.46755171351936E-2</v>
      </c>
      <c r="AL342">
        <v>1.47875419922923E-2</v>
      </c>
      <c r="AM342">
        <v>1.47947085404009E-2</v>
      </c>
      <c r="AN342">
        <v>1.48110136035459E-2</v>
      </c>
      <c r="AO342">
        <v>1.4872592979187801E-2</v>
      </c>
      <c r="AP342">
        <v>1.49331065022557E-2</v>
      </c>
      <c r="AQ342">
        <v>1.49019527069099E-2</v>
      </c>
      <c r="AR342">
        <v>1.4901718098565799E-2</v>
      </c>
      <c r="AS342">
        <v>1.49173338997568E-2</v>
      </c>
    </row>
    <row r="343" spans="1:45" hidden="1" x14ac:dyDescent="0.3">
      <c r="A343" t="s">
        <v>754</v>
      </c>
      <c r="B343" t="s">
        <v>686</v>
      </c>
      <c r="C343" t="s">
        <v>681</v>
      </c>
      <c r="D343" t="s">
        <v>680</v>
      </c>
      <c r="E343" t="s">
        <v>752</v>
      </c>
      <c r="F343">
        <v>999</v>
      </c>
      <c r="G343">
        <v>0</v>
      </c>
      <c r="H343">
        <v>-2.1680701143627499E-13</v>
      </c>
      <c r="I343">
        <v>-3.2215282456003601E-12</v>
      </c>
      <c r="J343">
        <v>5.0417198067000003E-3</v>
      </c>
      <c r="K343">
        <v>4.9523914536E-3</v>
      </c>
      <c r="L343">
        <v>4.0813600454999996E-3</v>
      </c>
      <c r="M343">
        <v>5.5578888893000004E-3</v>
      </c>
      <c r="N343">
        <v>5.3924140431999999E-3</v>
      </c>
      <c r="O343">
        <v>4.6663816433999998E-3</v>
      </c>
      <c r="P343">
        <v>4.5382871017000002E-3</v>
      </c>
      <c r="Q343">
        <v>4.4178641517000003E-3</v>
      </c>
      <c r="R343">
        <v>4.2971493304E-3</v>
      </c>
      <c r="S343">
        <v>4.1679582726000001E-3</v>
      </c>
      <c r="T343">
        <v>4.0444915424999997E-3</v>
      </c>
      <c r="U343">
        <v>3.9239313283000003E-3</v>
      </c>
      <c r="V343">
        <v>3.8066748234999999E-3</v>
      </c>
      <c r="W343">
        <v>3.6960529075999999E-3</v>
      </c>
      <c r="X343">
        <v>3.5878684647E-3</v>
      </c>
      <c r="Y343">
        <v>3.4823118156999998E-3</v>
      </c>
      <c r="Z343">
        <v>3.3819892719000001E-3</v>
      </c>
      <c r="AA343">
        <v>3.2814481248999998E-3</v>
      </c>
      <c r="AB343">
        <v>3.1806058543999999E-3</v>
      </c>
      <c r="AC343">
        <v>3.0836304762999998E-3</v>
      </c>
      <c r="AD343">
        <v>2.9857669743999999E-3</v>
      </c>
      <c r="AE343">
        <v>2.8891280086E-3</v>
      </c>
      <c r="AF343">
        <v>2.7995649056999999E-3</v>
      </c>
      <c r="AG343">
        <v>2.7137329650999999E-3</v>
      </c>
      <c r="AH343">
        <v>2.6305114877E-3</v>
      </c>
      <c r="AI343">
        <v>2.5468643504000001E-3</v>
      </c>
      <c r="AJ343">
        <v>2.4689309955E-3</v>
      </c>
      <c r="AK343">
        <v>2.3932507799999999E-3</v>
      </c>
      <c r="AL343">
        <v>2.3215822848999998E-3</v>
      </c>
      <c r="AM343">
        <v>2.2540901255E-3</v>
      </c>
      <c r="AN343">
        <v>2.1900774361000002E-3</v>
      </c>
      <c r="AO343">
        <v>2.1294981320999998E-3</v>
      </c>
      <c r="AP343">
        <v>2.0697993215999999E-3</v>
      </c>
      <c r="AQ343">
        <v>2.0105084223999998E-3</v>
      </c>
      <c r="AR343">
        <v>1.9509336553E-3</v>
      </c>
      <c r="AS343">
        <v>1.8942483730000001E-3</v>
      </c>
    </row>
    <row r="344" spans="1:45" hidden="1" x14ac:dyDescent="0.3">
      <c r="A344" t="s">
        <v>754</v>
      </c>
      <c r="B344" t="s">
        <v>685</v>
      </c>
      <c r="C344" t="s">
        <v>681</v>
      </c>
      <c r="D344" t="s">
        <v>680</v>
      </c>
      <c r="E344" t="s">
        <v>752</v>
      </c>
      <c r="F344">
        <v>999</v>
      </c>
      <c r="G344">
        <v>0</v>
      </c>
      <c r="H344">
        <v>-2.1680701143627499E-13</v>
      </c>
      <c r="I344">
        <v>-3.2215282456003601E-12</v>
      </c>
      <c r="J344">
        <v>5.0324224823188298E-3</v>
      </c>
      <c r="K344">
        <v>4.9325155865696298E-3</v>
      </c>
      <c r="L344">
        <v>4.0562137239641997E-3</v>
      </c>
      <c r="M344">
        <v>5.5118526885343001E-3</v>
      </c>
      <c r="N344">
        <v>5.3364939296872797E-3</v>
      </c>
      <c r="O344">
        <v>4.6085068330574703E-3</v>
      </c>
      <c r="P344">
        <v>4.4754065692048902E-3</v>
      </c>
      <c r="Q344">
        <v>4.3509708463107402E-3</v>
      </c>
      <c r="R344">
        <v>4.2272154080592499E-3</v>
      </c>
      <c r="S344">
        <v>4.0959714378436003E-3</v>
      </c>
      <c r="T344">
        <v>3.9710828242782003E-3</v>
      </c>
      <c r="U344">
        <v>3.8496929244122599E-3</v>
      </c>
      <c r="V344">
        <v>3.7320991325458801E-3</v>
      </c>
      <c r="W344">
        <v>3.6214762562737802E-3</v>
      </c>
      <c r="X344">
        <v>3.5136342096923801E-3</v>
      </c>
      <c r="Y344">
        <v>3.40870339269866E-3</v>
      </c>
      <c r="Z344">
        <v>3.30919024180026E-3</v>
      </c>
      <c r="AA344">
        <v>3.2097188211869599E-3</v>
      </c>
      <c r="AB344">
        <v>3.1101684429837499E-3</v>
      </c>
      <c r="AC344">
        <v>3.0153465819665499E-3</v>
      </c>
      <c r="AD344">
        <v>2.9213506516019699E-3</v>
      </c>
      <c r="AE344">
        <v>2.8283540682259999E-3</v>
      </c>
      <c r="AF344">
        <v>2.7421034201908301E-3</v>
      </c>
      <c r="AG344">
        <v>2.65934380814959E-3</v>
      </c>
      <c r="AH344">
        <v>2.5789927544353801E-3</v>
      </c>
      <c r="AI344">
        <v>2.4980858351124702E-3</v>
      </c>
      <c r="AJ344">
        <v>2.4226562237562601E-3</v>
      </c>
      <c r="AK344">
        <v>2.3493221939791999E-3</v>
      </c>
      <c r="AL344">
        <v>2.27982100285078E-3</v>
      </c>
      <c r="AM344">
        <v>2.2143257334403602E-3</v>
      </c>
      <c r="AN344">
        <v>2.1521622073853199E-3</v>
      </c>
      <c r="AO344">
        <v>2.09329423658472E-3</v>
      </c>
      <c r="AP344">
        <v>2.03521992719656E-3</v>
      </c>
      <c r="AQ344">
        <v>1.9774800079007501E-3</v>
      </c>
      <c r="AR344">
        <v>1.9193986676775199E-3</v>
      </c>
      <c r="AS344">
        <v>1.8641027046171601E-3</v>
      </c>
    </row>
    <row r="345" spans="1:45" hidden="1" x14ac:dyDescent="0.3">
      <c r="A345" t="s">
        <v>754</v>
      </c>
      <c r="B345" t="s">
        <v>684</v>
      </c>
      <c r="C345" t="s">
        <v>681</v>
      </c>
      <c r="D345" t="s">
        <v>680</v>
      </c>
      <c r="E345" t="s">
        <v>752</v>
      </c>
      <c r="F345">
        <v>999</v>
      </c>
      <c r="G345">
        <v>0</v>
      </c>
      <c r="H345">
        <v>999</v>
      </c>
      <c r="I345">
        <v>999</v>
      </c>
      <c r="J345">
        <v>1.51528063252576E-10</v>
      </c>
      <c r="K345">
        <v>2.82950979121093E-10</v>
      </c>
      <c r="L345">
        <v>-4.0378219395745602E-10</v>
      </c>
      <c r="M345">
        <v>-3.5766622893596099E-11</v>
      </c>
      <c r="N345">
        <v>2.6000526084956701E-10</v>
      </c>
      <c r="O345">
        <v>5.2616294045263399E-10</v>
      </c>
      <c r="P345">
        <v>9.5149934529098699E-10</v>
      </c>
      <c r="Q345">
        <v>1.20951375954459E-9</v>
      </c>
      <c r="R345">
        <v>1.3393973325682399E-9</v>
      </c>
      <c r="S345">
        <v>1.3580559210998601E-9</v>
      </c>
      <c r="T345">
        <v>1.33715873657338E-9</v>
      </c>
      <c r="U345">
        <v>1.2980677980223501E-9</v>
      </c>
      <c r="V345">
        <v>1.24498619330783E-9</v>
      </c>
      <c r="W345">
        <v>1.1865693898438601E-9</v>
      </c>
      <c r="X345">
        <v>1.1191832763981299E-9</v>
      </c>
      <c r="Y345">
        <v>9.294712086514E-10</v>
      </c>
      <c r="Z345">
        <v>7.8937842689701304E-10</v>
      </c>
      <c r="AA345">
        <v>6.8530063913450403E-10</v>
      </c>
      <c r="AB345">
        <v>5.8930327866057896E-10</v>
      </c>
      <c r="AC345">
        <v>5.1748287207090697E-10</v>
      </c>
      <c r="AD345">
        <v>4.6881649448399402E-10</v>
      </c>
      <c r="AE345">
        <v>4.2089932285864302E-10</v>
      </c>
      <c r="AF345">
        <v>3.7962836479231901E-10</v>
      </c>
      <c r="AG345">
        <v>3.4421677749994302E-10</v>
      </c>
      <c r="AH345">
        <v>3.1099658672697E-10</v>
      </c>
      <c r="AI345">
        <v>2.7620646722862102E-10</v>
      </c>
      <c r="AJ345">
        <v>2.45547144577046E-10</v>
      </c>
      <c r="AK345">
        <v>2.1815887807003199E-10</v>
      </c>
      <c r="AL345">
        <v>1.94187103736379E-10</v>
      </c>
      <c r="AM345">
        <v>1.7282802510521901E-10</v>
      </c>
      <c r="AN345">
        <v>1.5365272391577999E-10</v>
      </c>
      <c r="AO345">
        <v>1.3657829064990499E-10</v>
      </c>
      <c r="AP345">
        <v>1.21252196767701E-10</v>
      </c>
      <c r="AQ345">
        <v>1.0751847952671599E-10</v>
      </c>
      <c r="AR345">
        <v>9.5251773648391601E-11</v>
      </c>
      <c r="AS345">
        <v>8.4383370236133198E-11</v>
      </c>
    </row>
    <row r="346" spans="1:45" hidden="1" x14ac:dyDescent="0.3">
      <c r="A346" t="s">
        <v>754</v>
      </c>
      <c r="B346" t="s">
        <v>682</v>
      </c>
      <c r="C346" t="s">
        <v>681</v>
      </c>
      <c r="D346" t="s">
        <v>680</v>
      </c>
      <c r="E346" t="s">
        <v>752</v>
      </c>
      <c r="F346">
        <v>999</v>
      </c>
      <c r="G346">
        <v>0</v>
      </c>
      <c r="H346">
        <v>999</v>
      </c>
      <c r="I346">
        <v>999</v>
      </c>
      <c r="J346">
        <v>1.50434608480652E-10</v>
      </c>
      <c r="K346">
        <v>2.7962082241302801E-10</v>
      </c>
      <c r="L346">
        <v>-4.1216253936241698E-10</v>
      </c>
      <c r="M346">
        <v>-7.2244037339187696E-11</v>
      </c>
      <c r="N346">
        <v>2.0084245028465801E-10</v>
      </c>
      <c r="O346">
        <v>4.4483490603392798E-10</v>
      </c>
      <c r="P346">
        <v>8.2795036944496803E-10</v>
      </c>
      <c r="Q346">
        <v>1.0513647833775699E-9</v>
      </c>
      <c r="R346">
        <v>1.15530714476224E-9</v>
      </c>
      <c r="S346">
        <v>1.1583564826565201E-9</v>
      </c>
      <c r="T346">
        <v>1.1279505176682201E-9</v>
      </c>
      <c r="U346">
        <v>1.08280571543337E-9</v>
      </c>
      <c r="V346">
        <v>1.0269158189009301E-9</v>
      </c>
      <c r="W346">
        <v>9.6809109078912494E-10</v>
      </c>
      <c r="X346">
        <v>9.03529531351632E-10</v>
      </c>
      <c r="Y346">
        <v>7.4069506498643297E-10</v>
      </c>
      <c r="Z346">
        <v>6.2205327515072497E-10</v>
      </c>
      <c r="AA346">
        <v>5.3526481135415297E-10</v>
      </c>
      <c r="AB346">
        <v>4.5661896214706199E-10</v>
      </c>
      <c r="AC346">
        <v>3.9870189830906402E-10</v>
      </c>
      <c r="AD346">
        <v>3.6012279251762998E-10</v>
      </c>
      <c r="AE346">
        <v>3.22709591062156E-10</v>
      </c>
      <c r="AF346">
        <v>2.9098514897328202E-10</v>
      </c>
      <c r="AG346">
        <v>2.6455875794907202E-10</v>
      </c>
      <c r="AH346">
        <v>2.39544351235033E-10</v>
      </c>
      <c r="AI346">
        <v>2.1339478385574001E-10</v>
      </c>
      <c r="AJ346">
        <v>1.9044084841951699E-10</v>
      </c>
      <c r="AK346">
        <v>1.6993002636310701E-10</v>
      </c>
      <c r="AL346">
        <v>1.5203938758239501E-10</v>
      </c>
      <c r="AM346">
        <v>1.36130847851311E-10</v>
      </c>
      <c r="AN346">
        <v>1.2180973002720799E-10</v>
      </c>
      <c r="AO346">
        <v>1.09057412210019E-10</v>
      </c>
      <c r="AP346">
        <v>9.7590871934608305E-11</v>
      </c>
      <c r="AQ346">
        <v>8.7262791805643705E-11</v>
      </c>
      <c r="AR346">
        <v>7.8023131268467397E-11</v>
      </c>
      <c r="AS346">
        <v>6.9817155486029902E-11</v>
      </c>
    </row>
    <row r="347" spans="1:45" hidden="1" x14ac:dyDescent="0.3">
      <c r="A347" t="s">
        <v>753</v>
      </c>
      <c r="B347" t="s">
        <v>686</v>
      </c>
      <c r="C347" t="s">
        <v>681</v>
      </c>
      <c r="D347" t="s">
        <v>680</v>
      </c>
      <c r="E347" t="s">
        <v>752</v>
      </c>
      <c r="F347">
        <v>14.519406326516201</v>
      </c>
      <c r="G347">
        <v>6.6844746733017999</v>
      </c>
      <c r="H347">
        <v>18.677954222687799</v>
      </c>
      <c r="I347">
        <v>277.53510691283401</v>
      </c>
      <c r="J347">
        <v>2.2677716810100002E-2</v>
      </c>
      <c r="K347">
        <v>1.9324086511799999E-2</v>
      </c>
      <c r="L347">
        <v>1.7341015367300001E-2</v>
      </c>
      <c r="M347">
        <v>2.28012410346E-2</v>
      </c>
      <c r="N347">
        <v>2.1768316440400001E-2</v>
      </c>
      <c r="O347">
        <v>1.8689240369899999E-2</v>
      </c>
      <c r="P347">
        <v>1.8068234508299998E-2</v>
      </c>
      <c r="Q347">
        <v>1.74903987235E-2</v>
      </c>
      <c r="R347">
        <v>1.6928282237700001E-2</v>
      </c>
      <c r="S347">
        <v>1.63487546491E-2</v>
      </c>
      <c r="T347">
        <v>1.5803778995799999E-2</v>
      </c>
      <c r="U347">
        <v>1.5277619890900001E-2</v>
      </c>
      <c r="V347">
        <v>1.47817126907E-2</v>
      </c>
      <c r="W347">
        <v>1.43283016151E-2</v>
      </c>
      <c r="X347">
        <v>1.3896990775500001E-2</v>
      </c>
      <c r="Y347">
        <v>1.34910331927E-2</v>
      </c>
      <c r="Z347">
        <v>1.31180723505E-2</v>
      </c>
      <c r="AA347">
        <v>1.27600223514E-2</v>
      </c>
      <c r="AB347">
        <v>1.2411038545200001E-2</v>
      </c>
      <c r="AC347">
        <v>1.20876261437E-2</v>
      </c>
      <c r="AD347">
        <v>1.17696922303E-2</v>
      </c>
      <c r="AE347">
        <v>1.14644817542E-2</v>
      </c>
      <c r="AF347">
        <v>1.1181997331100001E-2</v>
      </c>
      <c r="AG347">
        <v>1.09093691197E-2</v>
      </c>
      <c r="AH347">
        <v>1.0643700115800001E-2</v>
      </c>
      <c r="AI347">
        <v>1.03719129471E-2</v>
      </c>
      <c r="AJ347">
        <v>1.01181644149E-2</v>
      </c>
      <c r="AK347">
        <v>9.8587416067E-3</v>
      </c>
      <c r="AL347">
        <v>9.6003591737999997E-3</v>
      </c>
      <c r="AM347">
        <v>9.3427697377000008E-3</v>
      </c>
      <c r="AN347">
        <v>9.0826535948000005E-3</v>
      </c>
      <c r="AO347">
        <v>8.8222421225000007E-3</v>
      </c>
      <c r="AP347">
        <v>8.5624818942000008E-3</v>
      </c>
      <c r="AQ347">
        <v>8.3026626660000005E-3</v>
      </c>
      <c r="AR347">
        <v>8.0411361392999994E-3</v>
      </c>
      <c r="AS347">
        <v>7.7926700017000002E-3</v>
      </c>
    </row>
    <row r="348" spans="1:45" hidden="1" x14ac:dyDescent="0.3">
      <c r="A348" t="s">
        <v>753</v>
      </c>
      <c r="B348" t="s">
        <v>685</v>
      </c>
      <c r="C348" t="s">
        <v>681</v>
      </c>
      <c r="D348" t="s">
        <v>680</v>
      </c>
      <c r="E348" t="s">
        <v>752</v>
      </c>
      <c r="F348">
        <v>14.519406326516201</v>
      </c>
      <c r="G348">
        <v>6.6844746733017999</v>
      </c>
      <c r="H348">
        <v>18.677954222687799</v>
      </c>
      <c r="I348">
        <v>277.53510691283401</v>
      </c>
      <c r="J348">
        <v>2.2652169007918201E-2</v>
      </c>
      <c r="K348">
        <v>1.92759290718395E-2</v>
      </c>
      <c r="L348">
        <v>1.7274351495298199E-2</v>
      </c>
      <c r="M348">
        <v>2.2683073704232701E-2</v>
      </c>
      <c r="N348">
        <v>2.1626828781479399E-2</v>
      </c>
      <c r="O348">
        <v>1.85472422106287E-2</v>
      </c>
      <c r="P348">
        <v>1.7912758451544799E-2</v>
      </c>
      <c r="Q348">
        <v>1.7323706896805301E-2</v>
      </c>
      <c r="R348">
        <v>1.6752578047944101E-2</v>
      </c>
      <c r="S348">
        <v>1.6166324422447701E-2</v>
      </c>
      <c r="T348">
        <v>1.56160744052549E-2</v>
      </c>
      <c r="U348">
        <v>1.5086084339644E-2</v>
      </c>
      <c r="V348">
        <v>1.4587435710286501E-2</v>
      </c>
      <c r="W348">
        <v>1.41319723427559E-2</v>
      </c>
      <c r="X348">
        <v>1.3699371570595699E-2</v>
      </c>
      <c r="Y348">
        <v>1.32926991075726E-2</v>
      </c>
      <c r="Z348">
        <v>1.2919375432252E-2</v>
      </c>
      <c r="AA348">
        <v>1.25614929159723E-2</v>
      </c>
      <c r="AB348">
        <v>1.22131893285922E-2</v>
      </c>
      <c r="AC348">
        <v>1.18906291364361E-2</v>
      </c>
      <c r="AD348">
        <v>1.15739800032257E-2</v>
      </c>
      <c r="AE348">
        <v>1.1271031671859401E-2</v>
      </c>
      <c r="AF348">
        <v>1.0996049194329199E-2</v>
      </c>
      <c r="AG348">
        <v>1.0730495463583499E-2</v>
      </c>
      <c r="AH348">
        <v>1.0471542769383099E-2</v>
      </c>
      <c r="AI348">
        <v>1.0206341561393901E-2</v>
      </c>
      <c r="AJ348">
        <v>9.9586777845621192E-3</v>
      </c>
      <c r="AK348">
        <v>9.7052311178560495E-3</v>
      </c>
      <c r="AL348">
        <v>9.4526215361579805E-3</v>
      </c>
      <c r="AM348">
        <v>9.2006171967915808E-3</v>
      </c>
      <c r="AN348">
        <v>8.9459593091845892E-3</v>
      </c>
      <c r="AO348">
        <v>8.6908547582968693E-3</v>
      </c>
      <c r="AP348">
        <v>8.4362454447894399E-3</v>
      </c>
      <c r="AQ348">
        <v>8.1814406502132703E-3</v>
      </c>
      <c r="AR348">
        <v>7.9248242431956707E-3</v>
      </c>
      <c r="AS348">
        <v>7.68095941514115E-3</v>
      </c>
    </row>
    <row r="349" spans="1:45" hidden="1" x14ac:dyDescent="0.3">
      <c r="A349" t="s">
        <v>753</v>
      </c>
      <c r="B349" t="s">
        <v>684</v>
      </c>
      <c r="C349" t="s">
        <v>681</v>
      </c>
      <c r="D349" t="s">
        <v>680</v>
      </c>
      <c r="E349" t="s">
        <v>752</v>
      </c>
      <c r="F349">
        <v>14.519406326516201</v>
      </c>
      <c r="G349">
        <v>6.6844746733017999</v>
      </c>
      <c r="H349">
        <v>6619.9517442686201</v>
      </c>
      <c r="I349">
        <v>98365.645037097507</v>
      </c>
      <c r="J349">
        <v>2.5476220428989701E-7</v>
      </c>
      <c r="K349">
        <v>8.6560005577575704E-7</v>
      </c>
      <c r="L349">
        <v>-2.5886110809546299E-6</v>
      </c>
      <c r="M349">
        <v>-4.6645479743497898E-7</v>
      </c>
      <c r="N349">
        <v>1.2235824426508699E-6</v>
      </c>
      <c r="O349">
        <v>2.8940478930138898E-6</v>
      </c>
      <c r="P349">
        <v>5.5135177036135299E-6</v>
      </c>
      <c r="Q349">
        <v>7.1436044542884901E-6</v>
      </c>
      <c r="R349">
        <v>8.0119310399521404E-6</v>
      </c>
      <c r="S349">
        <v>8.2189955758659795E-6</v>
      </c>
      <c r="T349">
        <v>8.1604686347957099E-6</v>
      </c>
      <c r="U349">
        <v>7.9976116893506096E-6</v>
      </c>
      <c r="V349">
        <v>7.7553897164021796E-6</v>
      </c>
      <c r="W349">
        <v>7.4839183466567096E-6</v>
      </c>
      <c r="X349">
        <v>7.1568677091262898E-6</v>
      </c>
      <c r="Y349">
        <v>6.0253465839438004E-6</v>
      </c>
      <c r="Z349">
        <v>5.2092284070241102E-6</v>
      </c>
      <c r="AA349">
        <v>4.6170522014791597E-6</v>
      </c>
      <c r="AB349">
        <v>4.0635733308620296E-6</v>
      </c>
      <c r="AC349">
        <v>3.6067443996286301E-6</v>
      </c>
      <c r="AD349">
        <v>3.1973462532898901E-6</v>
      </c>
      <c r="AE349">
        <v>2.8171273492043701E-6</v>
      </c>
      <c r="AF349">
        <v>2.56898866067871E-6</v>
      </c>
      <c r="AG349">
        <v>2.3543760725077102E-6</v>
      </c>
      <c r="AH349">
        <v>2.1520165098770001E-6</v>
      </c>
      <c r="AI349">
        <v>1.93435540007172E-6</v>
      </c>
      <c r="AJ349">
        <v>1.74041354450091E-6</v>
      </c>
      <c r="AK349">
        <v>1.56668576338014E-6</v>
      </c>
      <c r="AL349">
        <v>1.41332843145546E-6</v>
      </c>
      <c r="AM349">
        <v>1.2732196057039001E-6</v>
      </c>
      <c r="AN349">
        <v>1.14431663321252E-6</v>
      </c>
      <c r="AO349">
        <v>1.02730963485407E-6</v>
      </c>
      <c r="AP349">
        <v>9.2129561801433398E-7</v>
      </c>
      <c r="AQ349">
        <v>8.2537273540402101E-7</v>
      </c>
      <c r="AR349">
        <v>7.3896063786298298E-7</v>
      </c>
      <c r="AS349">
        <v>6.6222253792021998E-7</v>
      </c>
    </row>
    <row r="350" spans="1:45" hidden="1" x14ac:dyDescent="0.3">
      <c r="A350" t="s">
        <v>753</v>
      </c>
      <c r="B350" t="s">
        <v>682</v>
      </c>
      <c r="C350" t="s">
        <v>681</v>
      </c>
      <c r="D350" t="s">
        <v>680</v>
      </c>
      <c r="E350" t="s">
        <v>752</v>
      </c>
      <c r="F350">
        <v>14.519406326516201</v>
      </c>
      <c r="G350">
        <v>6.6844746733017999</v>
      </c>
      <c r="H350">
        <v>6619.9517442686201</v>
      </c>
      <c r="I350">
        <v>98365.645037097507</v>
      </c>
      <c r="J350">
        <v>2.5171055391394603E-7</v>
      </c>
      <c r="K350">
        <v>8.4845726472582305E-7</v>
      </c>
      <c r="L350">
        <v>-2.6746297170915002E-6</v>
      </c>
      <c r="M350">
        <v>-7.6460790375589901E-7</v>
      </c>
      <c r="N350">
        <v>7.7381227162527003E-7</v>
      </c>
      <c r="O350">
        <v>2.28643919029926E-6</v>
      </c>
      <c r="P350">
        <v>4.6003884393832402E-6</v>
      </c>
      <c r="Q350">
        <v>5.9852298709778301E-6</v>
      </c>
      <c r="R350">
        <v>6.6721102746038699E-6</v>
      </c>
      <c r="S350">
        <v>6.76879946769974E-6</v>
      </c>
      <c r="T350">
        <v>6.6468229469113503E-6</v>
      </c>
      <c r="U350">
        <v>6.4415784882803596E-6</v>
      </c>
      <c r="V350">
        <v>6.1765305769541098E-6</v>
      </c>
      <c r="W350">
        <v>5.8962767277563603E-6</v>
      </c>
      <c r="X350">
        <v>5.5806438323626201E-6</v>
      </c>
      <c r="Y350">
        <v>4.6389242252735E-6</v>
      </c>
      <c r="Z350">
        <v>3.9691933950217297E-6</v>
      </c>
      <c r="AA350">
        <v>3.4922643004009902E-6</v>
      </c>
      <c r="AB350">
        <v>3.05456410339327E-6</v>
      </c>
      <c r="AC350">
        <v>2.6990786445945601E-6</v>
      </c>
      <c r="AD350">
        <v>2.3839733973444302E-6</v>
      </c>
      <c r="AE350">
        <v>2.0965725181959098E-6</v>
      </c>
      <c r="AF350">
        <v>1.91693722683995E-6</v>
      </c>
      <c r="AG350">
        <v>1.7662588008575499E-6</v>
      </c>
      <c r="AH350">
        <v>1.62249208571502E-6</v>
      </c>
      <c r="AI350">
        <v>1.4672017285237E-6</v>
      </c>
      <c r="AJ350">
        <v>1.32917210299062E-6</v>
      </c>
      <c r="AK350">
        <v>1.2053300889171099E-6</v>
      </c>
      <c r="AL350">
        <v>1.0963876516984199E-6</v>
      </c>
      <c r="AM350">
        <v>9.9674633690950403E-7</v>
      </c>
      <c r="AN350">
        <v>9.0440925778072603E-7</v>
      </c>
      <c r="AO350">
        <v>8.2036081447092296E-7</v>
      </c>
      <c r="AP350">
        <v>7.4390813970589097E-7</v>
      </c>
      <c r="AQ350">
        <v>6.7416280539877602E-7</v>
      </c>
      <c r="AR350">
        <v>6.1110825596427697E-7</v>
      </c>
      <c r="AS350">
        <v>5.5494371499617898E-7</v>
      </c>
    </row>
    <row r="351" spans="1:45" hidden="1" x14ac:dyDescent="0.3">
      <c r="A351" t="s">
        <v>751</v>
      </c>
      <c r="B351" t="s">
        <v>686</v>
      </c>
      <c r="C351" t="s">
        <v>681</v>
      </c>
      <c r="D351" t="s">
        <v>680</v>
      </c>
      <c r="E351" t="s">
        <v>21</v>
      </c>
      <c r="F351">
        <v>-5.8447712595382502</v>
      </c>
      <c r="G351">
        <v>30.520292672991499</v>
      </c>
      <c r="H351">
        <v>46.472784960031703</v>
      </c>
      <c r="I351">
        <v>1143.18049472696</v>
      </c>
      <c r="J351">
        <v>0.14457927565170001</v>
      </c>
      <c r="K351">
        <v>0.144567245136</v>
      </c>
      <c r="L351">
        <v>0.14245561951999999</v>
      </c>
      <c r="M351">
        <v>0.14109694179856999</v>
      </c>
      <c r="N351">
        <v>0.140008786847866</v>
      </c>
      <c r="O351">
        <v>0.13877231673972801</v>
      </c>
      <c r="P351">
        <v>0.13676844516707001</v>
      </c>
      <c r="Q351">
        <v>0.13493288357967401</v>
      </c>
      <c r="R351">
        <v>0.13333657441149799</v>
      </c>
      <c r="S351">
        <v>0.13247620587227801</v>
      </c>
      <c r="T351">
        <v>0.131391303047449</v>
      </c>
      <c r="U351">
        <v>0.130505648276626</v>
      </c>
      <c r="V351">
        <v>0.12984465105364801</v>
      </c>
      <c r="W351">
        <v>0.12938969590990301</v>
      </c>
      <c r="X351">
        <v>0.12941581621801199</v>
      </c>
      <c r="Y351">
        <v>0.12947224569284299</v>
      </c>
      <c r="Z351">
        <v>0.12956663757051701</v>
      </c>
      <c r="AA351">
        <v>0.12932991504444799</v>
      </c>
      <c r="AB351">
        <v>0.12969140288235001</v>
      </c>
      <c r="AC351">
        <v>0.130114815657418</v>
      </c>
      <c r="AD351">
        <v>0.13092718900588299</v>
      </c>
      <c r="AE351">
        <v>0.13197902216555699</v>
      </c>
      <c r="AF351">
        <v>0.13296868185549099</v>
      </c>
      <c r="AG351">
        <v>0.134141688490477</v>
      </c>
      <c r="AH351">
        <v>0.13547303467866101</v>
      </c>
      <c r="AI351">
        <v>0.13687589565557801</v>
      </c>
      <c r="AJ351">
        <v>0.13834480905818899</v>
      </c>
      <c r="AK351">
        <v>0.13987894858768399</v>
      </c>
      <c r="AL351">
        <v>0.141450982578087</v>
      </c>
      <c r="AM351">
        <v>0.143054926017567</v>
      </c>
      <c r="AN351">
        <v>0.14467815427192099</v>
      </c>
      <c r="AO351">
        <v>0.14634470238254299</v>
      </c>
      <c r="AP351">
        <v>0.14812164084340601</v>
      </c>
      <c r="AQ351">
        <v>0.149788241993771</v>
      </c>
      <c r="AR351">
        <v>0.151489630916256</v>
      </c>
      <c r="AS351">
        <v>0.15308762509937801</v>
      </c>
    </row>
    <row r="352" spans="1:45" hidden="1" x14ac:dyDescent="0.3">
      <c r="A352" t="s">
        <v>751</v>
      </c>
      <c r="B352" t="s">
        <v>685</v>
      </c>
      <c r="C352" t="s">
        <v>681</v>
      </c>
      <c r="D352" t="s">
        <v>680</v>
      </c>
      <c r="E352" t="s">
        <v>21</v>
      </c>
      <c r="F352">
        <v>-5.8447712595382502</v>
      </c>
      <c r="G352">
        <v>30.520292672991499</v>
      </c>
      <c r="H352">
        <v>46.472784960031703</v>
      </c>
      <c r="I352">
        <v>1143.18049472696</v>
      </c>
      <c r="J352">
        <v>0.14410193249508599</v>
      </c>
      <c r="K352">
        <v>0.14355977034760301</v>
      </c>
      <c r="L352">
        <v>0.140950019783672</v>
      </c>
      <c r="M352">
        <v>0.139104546451921</v>
      </c>
      <c r="N352">
        <v>0.137545181320951</v>
      </c>
      <c r="O352">
        <v>0.13586275292119701</v>
      </c>
      <c r="P352">
        <v>0.13345582033716</v>
      </c>
      <c r="Q352">
        <v>0.13124048288302201</v>
      </c>
      <c r="R352">
        <v>0.12928349359628399</v>
      </c>
      <c r="S352">
        <v>0.12806140024422399</v>
      </c>
      <c r="T352">
        <v>0.12664072392582301</v>
      </c>
      <c r="U352">
        <v>0.125430544893671</v>
      </c>
      <c r="V352">
        <v>0.12445272898587401</v>
      </c>
      <c r="W352">
        <v>0.123686810256265</v>
      </c>
      <c r="X352">
        <v>0.12339286882363</v>
      </c>
      <c r="Y352">
        <v>0.12333615831703899</v>
      </c>
      <c r="Z352">
        <v>0.12342607667372101</v>
      </c>
      <c r="AA352">
        <v>0.123200573155215</v>
      </c>
      <c r="AB352">
        <v>0.12354492897423</v>
      </c>
      <c r="AC352">
        <v>0.12394827491744501</v>
      </c>
      <c r="AD352">
        <v>0.124722147397857</v>
      </c>
      <c r="AE352">
        <v>0.125724130953564</v>
      </c>
      <c r="AF352">
        <v>0.126666887631217</v>
      </c>
      <c r="AG352">
        <v>0.12778430187907699</v>
      </c>
      <c r="AH352">
        <v>0.129052551482395</v>
      </c>
      <c r="AI352">
        <v>0.130388926568962</v>
      </c>
      <c r="AJ352">
        <v>0.131788223653901</v>
      </c>
      <c r="AK352">
        <v>0.13324965559923899</v>
      </c>
      <c r="AL352">
        <v>0.13474718607059699</v>
      </c>
      <c r="AM352">
        <v>0.13627511370423501</v>
      </c>
      <c r="AN352">
        <v>0.13782141218614</v>
      </c>
      <c r="AO352">
        <v>0.13940897746327499</v>
      </c>
      <c r="AP352">
        <v>0.14110170135290701</v>
      </c>
      <c r="AQ352">
        <v>0.142689317156069</v>
      </c>
      <c r="AR352">
        <v>0.14431007203198501</v>
      </c>
      <c r="AS352">
        <v>0.145832332362796</v>
      </c>
    </row>
    <row r="353" spans="1:45" hidden="1" x14ac:dyDescent="0.3">
      <c r="A353" t="s">
        <v>751</v>
      </c>
      <c r="B353" t="s">
        <v>684</v>
      </c>
      <c r="C353" t="s">
        <v>681</v>
      </c>
      <c r="D353" t="s">
        <v>680</v>
      </c>
      <c r="E353" t="s">
        <v>21</v>
      </c>
      <c r="F353">
        <v>-5.8447712595382502</v>
      </c>
      <c r="G353">
        <v>30.520292672991499</v>
      </c>
      <c r="H353">
        <v>61.436067869177599</v>
      </c>
      <c r="I353">
        <v>1511.26115039519</v>
      </c>
      <c r="J353">
        <v>0.14457927565170001</v>
      </c>
      <c r="K353">
        <v>0.144567245136</v>
      </c>
      <c r="L353">
        <v>0.139459220684018</v>
      </c>
      <c r="M353">
        <v>0.13546729742597799</v>
      </c>
      <c r="N353">
        <v>0.13201526899392199</v>
      </c>
      <c r="O353">
        <v>0.127919819971404</v>
      </c>
      <c r="P353">
        <v>0.123509590001623</v>
      </c>
      <c r="Q353">
        <v>0.119584684077923</v>
      </c>
      <c r="R353">
        <v>0.11616047027751999</v>
      </c>
      <c r="S353">
        <v>0.113603166792971</v>
      </c>
      <c r="T353">
        <v>0.11103432656408201</v>
      </c>
      <c r="U353">
        <v>0.108811587381538</v>
      </c>
      <c r="V353">
        <v>0.106946508154958</v>
      </c>
      <c r="W353">
        <v>0.10539318958075899</v>
      </c>
      <c r="X353">
        <v>0.104356960296822</v>
      </c>
      <c r="Y353">
        <v>0.10393488001658401</v>
      </c>
      <c r="Z353">
        <v>0.103821687685604</v>
      </c>
      <c r="AA353">
        <v>0.102727586927093</v>
      </c>
      <c r="AB353">
        <v>0.102189314432745</v>
      </c>
      <c r="AC353">
        <v>0.101768610208963</v>
      </c>
      <c r="AD353">
        <v>0.101714287916085</v>
      </c>
      <c r="AE353">
        <v>0.101895882814833</v>
      </c>
      <c r="AF353">
        <v>0.10206832634450801</v>
      </c>
      <c r="AG353">
        <v>0.102422030966317</v>
      </c>
      <c r="AH353">
        <v>0.10293418939106599</v>
      </c>
      <c r="AI353">
        <v>0.103538593624816</v>
      </c>
      <c r="AJ353">
        <v>0.104204836799002</v>
      </c>
      <c r="AK353">
        <v>0.104944486301827</v>
      </c>
      <c r="AL353">
        <v>0.105730968342732</v>
      </c>
      <c r="AM353">
        <v>0.10655771371421099</v>
      </c>
      <c r="AN353">
        <v>0.107694198838725</v>
      </c>
      <c r="AO353">
        <v>0.10856121943105899</v>
      </c>
      <c r="AP353">
        <v>0.109517609737336</v>
      </c>
      <c r="AQ353">
        <v>0.110400444054264</v>
      </c>
      <c r="AR353">
        <v>0.11132814657062901</v>
      </c>
      <c r="AS353">
        <v>0.112201945635219</v>
      </c>
    </row>
    <row r="354" spans="1:45" hidden="1" x14ac:dyDescent="0.3">
      <c r="A354" t="s">
        <v>751</v>
      </c>
      <c r="B354" t="s">
        <v>682</v>
      </c>
      <c r="C354" t="s">
        <v>681</v>
      </c>
      <c r="D354" t="s">
        <v>680</v>
      </c>
      <c r="E354" t="s">
        <v>21</v>
      </c>
      <c r="F354">
        <v>-5.8447712595382502</v>
      </c>
      <c r="G354">
        <v>30.520292672991499</v>
      </c>
      <c r="H354">
        <v>61.436067869177599</v>
      </c>
      <c r="I354">
        <v>1511.26115039519</v>
      </c>
      <c r="J354">
        <v>0.14410193249508599</v>
      </c>
      <c r="K354">
        <v>0.14355977034760301</v>
      </c>
      <c r="L354">
        <v>0.138002868104876</v>
      </c>
      <c r="M354">
        <v>0.13358438750214099</v>
      </c>
      <c r="N354">
        <v>0.12973021619818501</v>
      </c>
      <c r="O354">
        <v>0.12528245139804001</v>
      </c>
      <c r="P354">
        <v>0.120564390494803</v>
      </c>
      <c r="Q354">
        <v>0.11635689621152399</v>
      </c>
      <c r="R354">
        <v>0.112670124629928</v>
      </c>
      <c r="S354">
        <v>0.109852653030444</v>
      </c>
      <c r="T354">
        <v>0.10704888960818</v>
      </c>
      <c r="U354">
        <v>0.104602523477415</v>
      </c>
      <c r="V354">
        <v>0.102520984032898</v>
      </c>
      <c r="W354">
        <v>0.100756714217556</v>
      </c>
      <c r="X354">
        <v>9.9502479791953896E-2</v>
      </c>
      <c r="Y354">
        <v>9.9009086833938498E-2</v>
      </c>
      <c r="Z354">
        <v>9.8901259035175298E-2</v>
      </c>
      <c r="AA354">
        <v>9.7859011071958102E-2</v>
      </c>
      <c r="AB354">
        <v>9.7346248964331694E-2</v>
      </c>
      <c r="AC354">
        <v>9.6945483205837998E-2</v>
      </c>
      <c r="AD354">
        <v>9.6893735413260698E-2</v>
      </c>
      <c r="AE354">
        <v>9.7066723972018598E-2</v>
      </c>
      <c r="AF354">
        <v>9.7230994873191604E-2</v>
      </c>
      <c r="AG354">
        <v>9.7567936346627498E-2</v>
      </c>
      <c r="AH354">
        <v>9.8055822010619104E-2</v>
      </c>
      <c r="AI354">
        <v>9.8631581671404095E-2</v>
      </c>
      <c r="AJ354">
        <v>9.9266249535311296E-2</v>
      </c>
      <c r="AK354">
        <v>9.9970844776486698E-2</v>
      </c>
      <c r="AL354">
        <v>0.100720053017925</v>
      </c>
      <c r="AM354">
        <v>0.10150761638703901</v>
      </c>
      <c r="AN354">
        <v>0.10259023999097699</v>
      </c>
      <c r="AO354">
        <v>0.103416169814532</v>
      </c>
      <c r="AP354">
        <v>0.104327233846801</v>
      </c>
      <c r="AQ354">
        <v>0.105168227933971</v>
      </c>
      <c r="AR354">
        <v>0.10605196377880199</v>
      </c>
      <c r="AS354">
        <v>0.106884350821993</v>
      </c>
    </row>
    <row r="355" spans="1:45" x14ac:dyDescent="0.3">
      <c r="A355" t="s">
        <v>750</v>
      </c>
      <c r="B355" t="s">
        <v>686</v>
      </c>
      <c r="C355" t="s">
        <v>681</v>
      </c>
      <c r="D355" t="s">
        <v>719</v>
      </c>
      <c r="E355" t="s">
        <v>696</v>
      </c>
      <c r="F355">
        <v>999</v>
      </c>
      <c r="G355">
        <v>0</v>
      </c>
      <c r="H355">
        <v>-1155.7973392465601</v>
      </c>
      <c r="I355">
        <v>-28431.3692458062</v>
      </c>
      <c r="J355">
        <v>3.1669693617076999E-2</v>
      </c>
      <c r="K355">
        <v>3.4015696536476098E-2</v>
      </c>
      <c r="L355">
        <v>3.3456238819222599E-2</v>
      </c>
      <c r="M355">
        <v>3.6226973781564101E-2</v>
      </c>
      <c r="N355">
        <v>3.3404067623626202E-2</v>
      </c>
      <c r="O355">
        <v>3.4081845421319701E-2</v>
      </c>
      <c r="P355">
        <v>3.3635169862073599E-2</v>
      </c>
      <c r="Q355">
        <v>3.3196007346742398E-2</v>
      </c>
      <c r="R355">
        <v>3.2652821025963598E-2</v>
      </c>
      <c r="S355">
        <v>3.2182684288519198E-2</v>
      </c>
      <c r="T355">
        <v>3.1605543767512199E-2</v>
      </c>
      <c r="U355">
        <v>3.1096779250371499E-2</v>
      </c>
      <c r="V355">
        <v>3.0680878083518E-2</v>
      </c>
      <c r="W355">
        <v>3.0338048810597599E-2</v>
      </c>
      <c r="X355">
        <v>3.0116159202241002E-2</v>
      </c>
      <c r="Y355">
        <v>2.98925854532523E-2</v>
      </c>
      <c r="Z355">
        <v>2.9657971768477401E-2</v>
      </c>
      <c r="AA355">
        <v>2.9319208423203302E-2</v>
      </c>
      <c r="AB355">
        <v>2.9113281122357199E-2</v>
      </c>
      <c r="AC355">
        <v>2.8892100265992801E-2</v>
      </c>
      <c r="AD355">
        <v>2.8739435034200098E-2</v>
      </c>
      <c r="AE355">
        <v>2.8608374093379199E-2</v>
      </c>
      <c r="AF355">
        <v>2.84312989183493E-2</v>
      </c>
      <c r="AG355">
        <v>2.8270860520408302E-2</v>
      </c>
      <c r="AH355">
        <v>2.8141680825128499E-2</v>
      </c>
      <c r="AI355">
        <v>2.8043880718524102E-2</v>
      </c>
      <c r="AJ355">
        <v>2.7912675017842999E-2</v>
      </c>
      <c r="AK355">
        <v>2.7805408812410299E-2</v>
      </c>
      <c r="AL355">
        <v>2.77158065290968E-2</v>
      </c>
      <c r="AM355">
        <v>2.7625478646880201E-2</v>
      </c>
      <c r="AN355">
        <v>2.75449046733202E-2</v>
      </c>
      <c r="AO355">
        <v>2.7473194607575201E-2</v>
      </c>
      <c r="AP355">
        <v>2.7417200052972001E-2</v>
      </c>
      <c r="AQ355">
        <v>2.7341737834853101E-2</v>
      </c>
      <c r="AR355">
        <v>2.7295845000315001E-2</v>
      </c>
      <c r="AS355">
        <v>2.7257941178943298E-2</v>
      </c>
    </row>
    <row r="356" spans="1:45" x14ac:dyDescent="0.3">
      <c r="A356" t="s">
        <v>750</v>
      </c>
      <c r="B356" t="s">
        <v>685</v>
      </c>
      <c r="C356" t="s">
        <v>681</v>
      </c>
      <c r="D356" t="s">
        <v>719</v>
      </c>
      <c r="E356" t="s">
        <v>696</v>
      </c>
      <c r="F356">
        <v>999</v>
      </c>
      <c r="G356">
        <v>0</v>
      </c>
      <c r="H356">
        <v>-1155.7973392465601</v>
      </c>
      <c r="I356">
        <v>-28431.3692458062</v>
      </c>
      <c r="J356">
        <v>3.1530786493350997E-2</v>
      </c>
      <c r="K356">
        <v>3.3705125199594101E-2</v>
      </c>
      <c r="L356">
        <v>3.3001324529607003E-2</v>
      </c>
      <c r="M356">
        <v>3.5644881686056999E-2</v>
      </c>
      <c r="N356">
        <v>3.2768727524445602E-2</v>
      </c>
      <c r="O356">
        <v>3.3283193581661E-2</v>
      </c>
      <c r="P356">
        <v>3.2738381204212699E-2</v>
      </c>
      <c r="Q356">
        <v>3.2210643255188097E-2</v>
      </c>
      <c r="R356">
        <v>3.1594838965015803E-2</v>
      </c>
      <c r="S356">
        <v>3.1060555847700299E-2</v>
      </c>
      <c r="T356">
        <v>3.0433397333258099E-2</v>
      </c>
      <c r="U356">
        <v>2.9881070274188699E-2</v>
      </c>
      <c r="V356">
        <v>2.94270651603383E-2</v>
      </c>
      <c r="W356">
        <v>2.9051219954749002E-2</v>
      </c>
      <c r="X356">
        <v>2.8798718845699699E-2</v>
      </c>
      <c r="Y356">
        <v>2.8550951288221601E-2</v>
      </c>
      <c r="Z356">
        <v>2.8299164354502599E-2</v>
      </c>
      <c r="AA356">
        <v>2.79547994674368E-2</v>
      </c>
      <c r="AB356">
        <v>2.77705022184359E-2</v>
      </c>
      <c r="AC356">
        <v>2.7588187745598999E-2</v>
      </c>
      <c r="AD356">
        <v>2.7471535986636601E-2</v>
      </c>
      <c r="AE356">
        <v>2.7375873151565099E-2</v>
      </c>
      <c r="AF356">
        <v>2.7236140187083299E-2</v>
      </c>
      <c r="AG356">
        <v>2.71122839848114E-2</v>
      </c>
      <c r="AH356">
        <v>2.7018339571174398E-2</v>
      </c>
      <c r="AI356">
        <v>2.6954316248866302E-2</v>
      </c>
      <c r="AJ356">
        <v>2.6857767847438901E-2</v>
      </c>
      <c r="AK356">
        <v>2.6783895580073599E-2</v>
      </c>
      <c r="AL356">
        <v>2.6726623459020899E-2</v>
      </c>
      <c r="AM356">
        <v>2.66683114422623E-2</v>
      </c>
      <c r="AN356">
        <v>2.6619001016301699E-2</v>
      </c>
      <c r="AO356">
        <v>2.6577621484129701E-2</v>
      </c>
      <c r="AP356">
        <v>2.6550898101594299E-2</v>
      </c>
      <c r="AQ356">
        <v>2.6504888994890601E-2</v>
      </c>
      <c r="AR356">
        <v>2.6486922604762399E-2</v>
      </c>
      <c r="AS356">
        <v>2.6476030309268001E-2</v>
      </c>
    </row>
    <row r="357" spans="1:45" x14ac:dyDescent="0.3">
      <c r="A357" t="s">
        <v>750</v>
      </c>
      <c r="B357" t="s">
        <v>684</v>
      </c>
      <c r="C357" t="s">
        <v>681</v>
      </c>
      <c r="D357" t="s">
        <v>719</v>
      </c>
      <c r="E357" t="s">
        <v>696</v>
      </c>
      <c r="F357">
        <v>999</v>
      </c>
      <c r="G357">
        <v>0</v>
      </c>
      <c r="H357">
        <v>-858.36524857632003</v>
      </c>
      <c r="I357">
        <v>-21114.860279874199</v>
      </c>
      <c r="J357">
        <v>-2.7816531592208902E-3</v>
      </c>
      <c r="K357">
        <v>-7.2647394546192603E-5</v>
      </c>
      <c r="L357">
        <v>9.0667029176392101E-4</v>
      </c>
      <c r="M357">
        <v>-3.4677137953611002E-3</v>
      </c>
      <c r="N357">
        <v>-4.3962718246875398E-3</v>
      </c>
      <c r="O357">
        <v>-1.6214803754492199E-3</v>
      </c>
      <c r="P357">
        <v>-1.0587172653329E-3</v>
      </c>
      <c r="Q357">
        <v>-6.2381634365130101E-4</v>
      </c>
      <c r="R357">
        <v>-3.4843487074565901E-4</v>
      </c>
      <c r="S357">
        <v>-8.1075567520808402E-5</v>
      </c>
      <c r="T357">
        <v>1.36081529085342E-4</v>
      </c>
      <c r="U357">
        <v>3.67221628545931E-4</v>
      </c>
      <c r="V357">
        <v>5.7760205785096705E-4</v>
      </c>
      <c r="W357">
        <v>7.8388078911776704E-4</v>
      </c>
      <c r="X357">
        <v>9.9135283407179994E-4</v>
      </c>
      <c r="Y357">
        <v>1.71525071436271E-3</v>
      </c>
      <c r="Z357">
        <v>2.3930872683699499E-3</v>
      </c>
      <c r="AA357">
        <v>3.0329746885734699E-3</v>
      </c>
      <c r="AB357">
        <v>3.6949838467172898E-3</v>
      </c>
      <c r="AC357">
        <v>4.3448278747556298E-3</v>
      </c>
      <c r="AD357">
        <v>4.8122229484176297E-3</v>
      </c>
      <c r="AE357">
        <v>5.5176189981299096E-3</v>
      </c>
      <c r="AF357">
        <v>6.2683145186506802E-3</v>
      </c>
      <c r="AG357">
        <v>7.0739394725530796E-3</v>
      </c>
      <c r="AH357">
        <v>8.0008641580904209E-3</v>
      </c>
      <c r="AI357">
        <v>8.9961157512037909E-3</v>
      </c>
      <c r="AJ357">
        <v>1.0058144754043E-2</v>
      </c>
      <c r="AK357">
        <v>1.14100221067882E-2</v>
      </c>
      <c r="AL357">
        <v>1.1894155183144701E-2</v>
      </c>
      <c r="AM357">
        <v>1.13864808135527E-2</v>
      </c>
      <c r="AN357">
        <v>1.03802393141024E-2</v>
      </c>
      <c r="AO357">
        <v>9.6259336812142791E-3</v>
      </c>
      <c r="AP357">
        <v>9.0607217022505293E-3</v>
      </c>
      <c r="AQ357">
        <v>8.6450849794737494E-3</v>
      </c>
      <c r="AR357">
        <v>8.2873903254590698E-3</v>
      </c>
      <c r="AS357">
        <v>7.9838891141811499E-3</v>
      </c>
    </row>
    <row r="358" spans="1:45" x14ac:dyDescent="0.3">
      <c r="A358" t="s">
        <v>750</v>
      </c>
      <c r="B358" t="s">
        <v>682</v>
      </c>
      <c r="C358" t="s">
        <v>681</v>
      </c>
      <c r="D358" t="s">
        <v>719</v>
      </c>
      <c r="E358" t="s">
        <v>696</v>
      </c>
      <c r="F358">
        <v>999</v>
      </c>
      <c r="G358">
        <v>0</v>
      </c>
      <c r="H358">
        <v>-858.36524857632003</v>
      </c>
      <c r="I358">
        <v>-21114.860279874199</v>
      </c>
      <c r="J358">
        <v>-2.8633697792500999E-3</v>
      </c>
      <c r="K358">
        <v>-2.6513642140039197E-4</v>
      </c>
      <c r="L358">
        <v>6.2737292204645097E-4</v>
      </c>
      <c r="M358">
        <v>-3.8123832935907402E-3</v>
      </c>
      <c r="N358">
        <v>-4.7667378391406398E-3</v>
      </c>
      <c r="O358">
        <v>-2.1691153069535399E-3</v>
      </c>
      <c r="P358">
        <v>-1.7257587628849199E-3</v>
      </c>
      <c r="Q358">
        <v>-1.3948139575673999E-3</v>
      </c>
      <c r="R358">
        <v>-1.2020073389455801E-3</v>
      </c>
      <c r="S358">
        <v>-1.00710568596628E-3</v>
      </c>
      <c r="T358">
        <v>-8.4596825959311805E-4</v>
      </c>
      <c r="U358">
        <v>-6.6411044001316402E-4</v>
      </c>
      <c r="V358">
        <v>-4.9506338325017499E-4</v>
      </c>
      <c r="W358">
        <v>-3.2346711170908E-4</v>
      </c>
      <c r="X358">
        <v>-1.4745661052997301E-4</v>
      </c>
      <c r="Y358">
        <v>4.5112932381352502E-4</v>
      </c>
      <c r="Z358">
        <v>1.02495567057414E-3</v>
      </c>
      <c r="AA358">
        <v>1.5793228244015301E-3</v>
      </c>
      <c r="AB358">
        <v>2.1618254271696898E-3</v>
      </c>
      <c r="AC358">
        <v>2.7532866493653798E-3</v>
      </c>
      <c r="AD358">
        <v>3.1885238181007399E-3</v>
      </c>
      <c r="AE358">
        <v>3.8858213827123698E-3</v>
      </c>
      <c r="AF358">
        <v>4.6454667671268898E-3</v>
      </c>
      <c r="AG358">
        <v>5.4793111055883598E-3</v>
      </c>
      <c r="AH358">
        <v>6.4579075377317703E-3</v>
      </c>
      <c r="AI358">
        <v>7.5290063626809404E-3</v>
      </c>
      <c r="AJ358">
        <v>8.7020416231455306E-3</v>
      </c>
      <c r="AK358">
        <v>1.02128819747038E-2</v>
      </c>
      <c r="AL358">
        <v>1.0923775970545301E-2</v>
      </c>
      <c r="AM358">
        <v>1.0675886211327E-2</v>
      </c>
      <c r="AN358">
        <v>9.9005918395966702E-3</v>
      </c>
      <c r="AO358">
        <v>9.3381223479453695E-3</v>
      </c>
      <c r="AP358">
        <v>8.9359216842655204E-3</v>
      </c>
      <c r="AQ358">
        <v>8.6558060927322995E-3</v>
      </c>
      <c r="AR358">
        <v>8.4211393017199904E-3</v>
      </c>
      <c r="AS358">
        <v>8.2311556899472595E-3</v>
      </c>
    </row>
    <row r="359" spans="1:45" x14ac:dyDescent="0.3">
      <c r="A359" t="s">
        <v>749</v>
      </c>
      <c r="B359" t="s">
        <v>686</v>
      </c>
      <c r="C359" t="s">
        <v>681</v>
      </c>
      <c r="D359" t="s">
        <v>719</v>
      </c>
      <c r="E359" t="s">
        <v>696</v>
      </c>
      <c r="F359">
        <v>-8.8651662564081608</v>
      </c>
      <c r="G359">
        <v>67.959189609162607</v>
      </c>
      <c r="H359">
        <v>43.480089861656701</v>
      </c>
      <c r="I359">
        <v>595.31737529462896</v>
      </c>
      <c r="J359">
        <v>0.35196182883751598</v>
      </c>
      <c r="K359">
        <v>0.33939745728911902</v>
      </c>
      <c r="L359">
        <v>0.30994221283873702</v>
      </c>
      <c r="M359">
        <v>0.36245304006175499</v>
      </c>
      <c r="N359">
        <v>0.340786022006138</v>
      </c>
      <c r="O359">
        <v>0.33936289388351698</v>
      </c>
      <c r="P359">
        <v>0.33699417006464999</v>
      </c>
      <c r="Q359">
        <v>0.33401822858077901</v>
      </c>
      <c r="R359">
        <v>0.33050502546767702</v>
      </c>
      <c r="S359">
        <v>0.32688890080192901</v>
      </c>
      <c r="T359">
        <v>0.32289700147274403</v>
      </c>
      <c r="U359">
        <v>0.31958221281604898</v>
      </c>
      <c r="V359">
        <v>0.31726388217113599</v>
      </c>
      <c r="W359">
        <v>0.315361760891464</v>
      </c>
      <c r="X359">
        <v>0.314062924635504</v>
      </c>
      <c r="Y359">
        <v>0.31267840327358998</v>
      </c>
      <c r="Z359">
        <v>0.31135960628703102</v>
      </c>
      <c r="AA359">
        <v>0.30957775218745898</v>
      </c>
      <c r="AB359">
        <v>0.308038717493263</v>
      </c>
      <c r="AC359">
        <v>0.306639532468506</v>
      </c>
      <c r="AD359">
        <v>0.30549505248195602</v>
      </c>
      <c r="AE359">
        <v>0.30435788995025898</v>
      </c>
      <c r="AF359">
        <v>0.30319229124554797</v>
      </c>
      <c r="AG359">
        <v>0.30221945647566401</v>
      </c>
      <c r="AH359">
        <v>0.30142895913752599</v>
      </c>
      <c r="AI359">
        <v>0.30065092524019699</v>
      </c>
      <c r="AJ359">
        <v>0.29982469164683201</v>
      </c>
      <c r="AK359">
        <v>0.29913978315552903</v>
      </c>
      <c r="AL359">
        <v>0.29844108746361497</v>
      </c>
      <c r="AM359">
        <v>0.29775189411340802</v>
      </c>
      <c r="AN359">
        <v>0.297062069679982</v>
      </c>
      <c r="AO359">
        <v>0.29649235834309901</v>
      </c>
      <c r="AP359">
        <v>0.29592341262564498</v>
      </c>
      <c r="AQ359">
        <v>0.29530123404421399</v>
      </c>
      <c r="AR359">
        <v>0.294689609742881</v>
      </c>
      <c r="AS359">
        <v>0.29423233895979301</v>
      </c>
    </row>
    <row r="360" spans="1:45" x14ac:dyDescent="0.3">
      <c r="A360" t="s">
        <v>749</v>
      </c>
      <c r="B360" t="s">
        <v>685</v>
      </c>
      <c r="C360" t="s">
        <v>681</v>
      </c>
      <c r="D360" t="s">
        <v>719</v>
      </c>
      <c r="E360" t="s">
        <v>696</v>
      </c>
      <c r="F360">
        <v>-8.8651662564081608</v>
      </c>
      <c r="G360">
        <v>67.959189609162607</v>
      </c>
      <c r="H360">
        <v>43.480089861656701</v>
      </c>
      <c r="I360">
        <v>595.31737529462896</v>
      </c>
      <c r="J360">
        <v>0.34691988831186399</v>
      </c>
      <c r="K360">
        <v>0.33020572308450202</v>
      </c>
      <c r="L360">
        <v>0.29731969067052499</v>
      </c>
      <c r="M360">
        <v>0.34137952401451599</v>
      </c>
      <c r="N360">
        <v>0.31533576095973098</v>
      </c>
      <c r="O360">
        <v>0.31003786001684802</v>
      </c>
      <c r="P360">
        <v>0.30280289725055998</v>
      </c>
      <c r="Q360">
        <v>0.29516752847441902</v>
      </c>
      <c r="R360">
        <v>0.28733663603877002</v>
      </c>
      <c r="S360">
        <v>0.28003278432810602</v>
      </c>
      <c r="T360">
        <v>0.27236523286672198</v>
      </c>
      <c r="U360">
        <v>0.265518040290803</v>
      </c>
      <c r="V360">
        <v>0.25977677884830802</v>
      </c>
      <c r="W360">
        <v>0.25464949999435899</v>
      </c>
      <c r="X360">
        <v>0.250505397116629</v>
      </c>
      <c r="Y360">
        <v>0.24632953660551499</v>
      </c>
      <c r="Z360">
        <v>0.24212637367555201</v>
      </c>
      <c r="AA360">
        <v>0.23723692953484199</v>
      </c>
      <c r="AB360">
        <v>0.23324518775397099</v>
      </c>
      <c r="AC360">
        <v>0.22996198628047901</v>
      </c>
      <c r="AD360">
        <v>0.22848887553701</v>
      </c>
      <c r="AE360">
        <v>0.227515113932658</v>
      </c>
      <c r="AF360">
        <v>0.22633172193902301</v>
      </c>
      <c r="AG360">
        <v>0.225355048781683</v>
      </c>
      <c r="AH360">
        <v>0.22460252875512701</v>
      </c>
      <c r="AI360">
        <v>0.22385076478904101</v>
      </c>
      <c r="AJ360">
        <v>0.222997820125589</v>
      </c>
      <c r="AK360">
        <v>0.222244065755416</v>
      </c>
      <c r="AL360">
        <v>0.22153006527639599</v>
      </c>
      <c r="AM360">
        <v>0.22084281197053099</v>
      </c>
      <c r="AN360">
        <v>0.220162120422842</v>
      </c>
      <c r="AO360">
        <v>0.21962020351323999</v>
      </c>
      <c r="AP360">
        <v>0.21919202171853</v>
      </c>
      <c r="AQ360">
        <v>0.21864177703517701</v>
      </c>
      <c r="AR360">
        <v>0.21820243134734499</v>
      </c>
      <c r="AS360">
        <v>0.21782764826834</v>
      </c>
    </row>
    <row r="361" spans="1:45" x14ac:dyDescent="0.3">
      <c r="A361" t="s">
        <v>749</v>
      </c>
      <c r="B361" t="s">
        <v>684</v>
      </c>
      <c r="C361" t="s">
        <v>681</v>
      </c>
      <c r="D361" t="s">
        <v>719</v>
      </c>
      <c r="E361" t="s">
        <v>696</v>
      </c>
      <c r="F361">
        <v>-8.8651662564081608</v>
      </c>
      <c r="G361">
        <v>67.959189609162607</v>
      </c>
      <c r="H361">
        <v>2070.28434349606</v>
      </c>
      <c r="I361">
        <v>41897.972070161297</v>
      </c>
      <c r="J361">
        <v>0.103370039990978</v>
      </c>
      <c r="K361">
        <v>0.104033364565273</v>
      </c>
      <c r="L361">
        <v>9.5609719865497697E-2</v>
      </c>
      <c r="M361">
        <v>9.4849990049301697E-2</v>
      </c>
      <c r="N361">
        <v>8.3234501320633605E-2</v>
      </c>
      <c r="O361">
        <v>9.0767102568334798E-2</v>
      </c>
      <c r="P361">
        <v>9.1008434530322396E-2</v>
      </c>
      <c r="Q361">
        <v>9.0836872040654701E-2</v>
      </c>
      <c r="R361">
        <v>9.0268464273099494E-2</v>
      </c>
      <c r="S361">
        <v>8.9833151103579104E-2</v>
      </c>
      <c r="T361">
        <v>8.8826423025494899E-2</v>
      </c>
      <c r="U361">
        <v>8.7802668070250695E-2</v>
      </c>
      <c r="V361">
        <v>8.6928265498594906E-2</v>
      </c>
      <c r="W361">
        <v>8.6167161221746502E-2</v>
      </c>
      <c r="X361">
        <v>8.5611319075188E-2</v>
      </c>
      <c r="Y361">
        <v>8.2099269497816693E-2</v>
      </c>
      <c r="Z361">
        <v>7.92320693236781E-2</v>
      </c>
      <c r="AA361">
        <v>7.6533963180440298E-2</v>
      </c>
      <c r="AB361">
        <v>7.4820720324566797E-2</v>
      </c>
      <c r="AC361">
        <v>7.3498711932502098E-2</v>
      </c>
      <c r="AD361">
        <v>6.9566327437221701E-2</v>
      </c>
      <c r="AE361">
        <v>6.5838126913231196E-2</v>
      </c>
      <c r="AF361">
        <v>6.2827737347319002E-2</v>
      </c>
      <c r="AG361">
        <v>6.1198670721437601E-2</v>
      </c>
      <c r="AH361">
        <v>5.85002224885358E-2</v>
      </c>
      <c r="AI361">
        <v>5.5999112387658798E-2</v>
      </c>
      <c r="AJ361">
        <v>5.3611754933914499E-2</v>
      </c>
      <c r="AK361">
        <v>5.1649569020398002E-2</v>
      </c>
      <c r="AL361">
        <v>4.9479615544881297E-2</v>
      </c>
      <c r="AM361">
        <v>4.7178738985299298E-2</v>
      </c>
      <c r="AN361">
        <v>4.4878921116032103E-2</v>
      </c>
      <c r="AO361">
        <v>4.2774049865778402E-2</v>
      </c>
      <c r="AP361">
        <v>4.09287461596195E-2</v>
      </c>
      <c r="AQ361">
        <v>4.0601036542602401E-2</v>
      </c>
      <c r="AR361">
        <v>4.0286989845204201E-2</v>
      </c>
      <c r="AS361">
        <v>3.9960205253597197E-2</v>
      </c>
    </row>
    <row r="362" spans="1:45" x14ac:dyDescent="0.3">
      <c r="A362" t="s">
        <v>749</v>
      </c>
      <c r="B362" t="s">
        <v>682</v>
      </c>
      <c r="C362" t="s">
        <v>681</v>
      </c>
      <c r="D362" t="s">
        <v>719</v>
      </c>
      <c r="E362" t="s">
        <v>696</v>
      </c>
      <c r="F362">
        <v>-8.8651662564081608</v>
      </c>
      <c r="G362">
        <v>67.959189609162607</v>
      </c>
      <c r="H362">
        <v>2070.28434349606</v>
      </c>
      <c r="I362">
        <v>41897.972070161297</v>
      </c>
      <c r="J362">
        <v>9.92416654799258E-2</v>
      </c>
      <c r="K362">
        <v>9.8731273545479697E-2</v>
      </c>
      <c r="L362">
        <v>8.9568617851852203E-2</v>
      </c>
      <c r="M362">
        <v>8.6225014468717706E-2</v>
      </c>
      <c r="N362">
        <v>7.4163808192750896E-2</v>
      </c>
      <c r="O362">
        <v>8.1468508256357097E-2</v>
      </c>
      <c r="P362">
        <v>8.1369747111019006E-2</v>
      </c>
      <c r="Q362">
        <v>8.1089580780508402E-2</v>
      </c>
      <c r="R362">
        <v>8.0638522098548104E-2</v>
      </c>
      <c r="S362">
        <v>8.05290449668251E-2</v>
      </c>
      <c r="T362">
        <v>7.9958934789396793E-2</v>
      </c>
      <c r="U362">
        <v>7.9458520812508301E-2</v>
      </c>
      <c r="V362">
        <v>7.9163856369255506E-2</v>
      </c>
      <c r="W362">
        <v>7.9032321791272606E-2</v>
      </c>
      <c r="X362">
        <v>7.9149537189917005E-2</v>
      </c>
      <c r="Y362">
        <v>7.6332042747972506E-2</v>
      </c>
      <c r="Z362">
        <v>7.4110744442428697E-2</v>
      </c>
      <c r="AA362">
        <v>7.2006901918318197E-2</v>
      </c>
      <c r="AB362">
        <v>7.09252395545166E-2</v>
      </c>
      <c r="AC362">
        <v>7.01093903781356E-2</v>
      </c>
      <c r="AD362">
        <v>6.6409199194671503E-2</v>
      </c>
      <c r="AE362">
        <v>6.3302280946417405E-2</v>
      </c>
      <c r="AF362">
        <v>6.0379301570410202E-2</v>
      </c>
      <c r="AG362">
        <v>5.8817642695259797E-2</v>
      </c>
      <c r="AH362">
        <v>5.6509123013031202E-2</v>
      </c>
      <c r="AI362">
        <v>5.4386156231034002E-2</v>
      </c>
      <c r="AJ362">
        <v>5.2341207361444798E-2</v>
      </c>
      <c r="AK362">
        <v>5.0618133127530697E-2</v>
      </c>
      <c r="AL362">
        <v>4.8816379873056599E-2</v>
      </c>
      <c r="AM362">
        <v>4.6969003601052599E-2</v>
      </c>
      <c r="AN362">
        <v>4.5082913693140901E-2</v>
      </c>
      <c r="AO362">
        <v>4.3309225252885601E-2</v>
      </c>
      <c r="AP362">
        <v>4.1739307572896997E-2</v>
      </c>
      <c r="AQ362">
        <v>4.1695738183103001E-2</v>
      </c>
      <c r="AR362">
        <v>4.1636778459097898E-2</v>
      </c>
      <c r="AS362">
        <v>4.15639176160418E-2</v>
      </c>
    </row>
    <row r="363" spans="1:45" hidden="1" x14ac:dyDescent="0.3">
      <c r="A363" t="s">
        <v>748</v>
      </c>
      <c r="B363" t="s">
        <v>686</v>
      </c>
      <c r="C363" t="s">
        <v>681</v>
      </c>
      <c r="D363" t="s">
        <v>680</v>
      </c>
      <c r="E363" t="s">
        <v>746</v>
      </c>
      <c r="F363">
        <v>999</v>
      </c>
      <c r="G363">
        <v>0</v>
      </c>
      <c r="H363">
        <v>999</v>
      </c>
      <c r="I363">
        <v>999</v>
      </c>
      <c r="J363">
        <v>0.1025218832895</v>
      </c>
      <c r="K363">
        <v>0.1076353817955</v>
      </c>
      <c r="L363">
        <v>9.5839939482329606E-2</v>
      </c>
      <c r="M363">
        <v>0.104065592747976</v>
      </c>
      <c r="N363">
        <v>9.0305671174409199E-2</v>
      </c>
      <c r="O363">
        <v>9.8886112826449907E-2</v>
      </c>
      <c r="P363">
        <v>9.81298744110259E-2</v>
      </c>
      <c r="Q363">
        <v>9.7046674022383206E-2</v>
      </c>
      <c r="R363">
        <v>9.59825744509607E-2</v>
      </c>
      <c r="S363">
        <v>9.5022531717296799E-2</v>
      </c>
      <c r="T363">
        <v>9.3664865956937904E-2</v>
      </c>
      <c r="U363">
        <v>9.2550557859181301E-2</v>
      </c>
      <c r="V363">
        <v>9.1769504445409003E-2</v>
      </c>
      <c r="W363">
        <v>9.1252464558250701E-2</v>
      </c>
      <c r="X363">
        <v>9.1131314369585603E-2</v>
      </c>
      <c r="Y363">
        <v>9.0836964237472895E-2</v>
      </c>
      <c r="Z363">
        <v>9.0586637170656403E-2</v>
      </c>
      <c r="AA363">
        <v>9.0071451473684699E-2</v>
      </c>
      <c r="AB363">
        <v>8.9820606424879101E-2</v>
      </c>
      <c r="AC363">
        <v>8.9587010071225798E-2</v>
      </c>
      <c r="AD363">
        <v>8.9498519818200298E-2</v>
      </c>
      <c r="AE363">
        <v>8.9429873812259406E-2</v>
      </c>
      <c r="AF363">
        <v>8.9302263785432906E-2</v>
      </c>
      <c r="AG363">
        <v>8.92221334133729E-2</v>
      </c>
      <c r="AH363">
        <v>8.9248305506183498E-2</v>
      </c>
      <c r="AI363">
        <v>8.9299616915321706E-2</v>
      </c>
      <c r="AJ363">
        <v>8.9307618978777203E-2</v>
      </c>
      <c r="AK363">
        <v>8.9422307149572999E-2</v>
      </c>
      <c r="AL363">
        <v>8.9596310210935004E-2</v>
      </c>
      <c r="AM363">
        <v>8.9782853223269302E-2</v>
      </c>
      <c r="AN363">
        <v>8.9963636363622895E-2</v>
      </c>
      <c r="AO363">
        <v>9.0220503410771105E-2</v>
      </c>
      <c r="AP363">
        <v>9.0481416860236502E-2</v>
      </c>
      <c r="AQ363">
        <v>9.0657887160969397E-2</v>
      </c>
      <c r="AR363">
        <v>9.0962771491014602E-2</v>
      </c>
      <c r="AS363">
        <v>9.1333978753963097E-2</v>
      </c>
    </row>
    <row r="364" spans="1:45" hidden="1" x14ac:dyDescent="0.3">
      <c r="A364" t="s">
        <v>748</v>
      </c>
      <c r="B364" t="s">
        <v>685</v>
      </c>
      <c r="C364" t="s">
        <v>681</v>
      </c>
      <c r="D364" t="s">
        <v>680</v>
      </c>
      <c r="E364" t="s">
        <v>746</v>
      </c>
      <c r="F364">
        <v>999</v>
      </c>
      <c r="G364">
        <v>0</v>
      </c>
      <c r="H364">
        <v>999</v>
      </c>
      <c r="I364">
        <v>999</v>
      </c>
      <c r="J364">
        <v>0.10251180805155</v>
      </c>
      <c r="K364">
        <v>0.10761440225284399</v>
      </c>
      <c r="L364">
        <v>9.5812193922552899E-2</v>
      </c>
      <c r="M364">
        <v>0.104025825039856</v>
      </c>
      <c r="N364">
        <v>9.0263022308088997E-2</v>
      </c>
      <c r="O364">
        <v>9.8830807689964995E-2</v>
      </c>
      <c r="P364">
        <v>9.8066765369094602E-2</v>
      </c>
      <c r="Q364">
        <v>9.6976422882411706E-2</v>
      </c>
      <c r="R364">
        <v>9.5905628485767599E-2</v>
      </c>
      <c r="S364">
        <v>9.4941514966853893E-2</v>
      </c>
      <c r="T364">
        <v>9.3585006760036296E-2</v>
      </c>
      <c r="U364">
        <v>9.2471648727695102E-2</v>
      </c>
      <c r="V364">
        <v>9.1691261244501193E-2</v>
      </c>
      <c r="W364">
        <v>9.1174662188488506E-2</v>
      </c>
      <c r="X364">
        <v>9.1053615293162596E-2</v>
      </c>
      <c r="Y364">
        <v>9.0977458385010299E-2</v>
      </c>
      <c r="Z364">
        <v>9.0919034318397901E-2</v>
      </c>
      <c r="AA364">
        <v>9.0571116862346299E-2</v>
      </c>
      <c r="AB364">
        <v>9.0468124362529601E-2</v>
      </c>
      <c r="AC364">
        <v>9.0364542358351493E-2</v>
      </c>
      <c r="AD364">
        <v>9.0391687381069397E-2</v>
      </c>
      <c r="AE364">
        <v>9.0425263596487906E-2</v>
      </c>
      <c r="AF364">
        <v>9.0387149172150294E-2</v>
      </c>
      <c r="AG364">
        <v>9.0386409856416106E-2</v>
      </c>
      <c r="AH364">
        <v>9.0484045779701705E-2</v>
      </c>
      <c r="AI364">
        <v>9.0813282100350098E-2</v>
      </c>
      <c r="AJ364">
        <v>9.1066703615972494E-2</v>
      </c>
      <c r="AK364">
        <v>9.1400941101621905E-2</v>
      </c>
      <c r="AL364">
        <v>9.1771413127568896E-2</v>
      </c>
      <c r="AM364">
        <v>9.21332565747464E-2</v>
      </c>
      <c r="AN364">
        <v>9.2470164708039496E-2</v>
      </c>
      <c r="AO364">
        <v>9.2868513270438199E-2</v>
      </c>
      <c r="AP364">
        <v>9.3256270420905299E-2</v>
      </c>
      <c r="AQ364">
        <v>9.3543806365342194E-2</v>
      </c>
      <c r="AR364">
        <v>9.3952186193108994E-2</v>
      </c>
      <c r="AS364">
        <v>9.4418911048330501E-2</v>
      </c>
    </row>
    <row r="365" spans="1:45" hidden="1" x14ac:dyDescent="0.3">
      <c r="A365" t="s">
        <v>748</v>
      </c>
      <c r="B365" t="s">
        <v>684</v>
      </c>
      <c r="C365" t="s">
        <v>681</v>
      </c>
      <c r="D365" t="s">
        <v>680</v>
      </c>
      <c r="E365" t="s">
        <v>746</v>
      </c>
      <c r="F365">
        <v>999</v>
      </c>
      <c r="G365">
        <v>0</v>
      </c>
      <c r="H365">
        <v>0</v>
      </c>
      <c r="I365">
        <v>0</v>
      </c>
      <c r="J365">
        <v>7.5472329872823096E-2</v>
      </c>
      <c r="K365">
        <v>7.8997621162186796E-2</v>
      </c>
      <c r="L365">
        <v>4.2911218743789101E-2</v>
      </c>
      <c r="M365">
        <v>4.1161430941329499E-2</v>
      </c>
      <c r="N365">
        <v>3.3498629617828297E-2</v>
      </c>
      <c r="O365">
        <v>3.5305918508354801E-2</v>
      </c>
      <c r="P365">
        <v>3.4345834236205901E-2</v>
      </c>
      <c r="Q365">
        <v>3.3582176754424702E-2</v>
      </c>
      <c r="R365">
        <v>3.2508161871655498E-2</v>
      </c>
      <c r="S365">
        <v>3.1187497858874601E-2</v>
      </c>
      <c r="T365">
        <v>3.0189061828300799E-2</v>
      </c>
      <c r="U365">
        <v>2.9507366460002599E-2</v>
      </c>
      <c r="V365">
        <v>2.9103873021295801E-2</v>
      </c>
      <c r="W365">
        <v>2.8940527760058701E-2</v>
      </c>
      <c r="X365">
        <v>2.90927635336364E-2</v>
      </c>
      <c r="Y365">
        <v>2.7690592961892701E-2</v>
      </c>
      <c r="Z365">
        <v>2.7371959233044401E-2</v>
      </c>
      <c r="AA365">
        <v>2.7312048900355799E-2</v>
      </c>
      <c r="AB365">
        <v>2.7637839594128199E-2</v>
      </c>
      <c r="AC365">
        <v>2.8296996127664599E-2</v>
      </c>
      <c r="AD365">
        <v>2.93008127835012E-2</v>
      </c>
      <c r="AE365">
        <v>3.03965629148698E-2</v>
      </c>
      <c r="AF365">
        <v>3.1533283202553303E-2</v>
      </c>
      <c r="AG365">
        <v>3.3089649314906502E-2</v>
      </c>
      <c r="AH365">
        <v>3.4487588714391303E-2</v>
      </c>
      <c r="AI365">
        <v>3.58543205127103E-2</v>
      </c>
      <c r="AJ365">
        <v>3.7009714220637299E-2</v>
      </c>
      <c r="AK365">
        <v>3.8080585441986697E-2</v>
      </c>
      <c r="AL365">
        <v>3.9098949704284597E-2</v>
      </c>
      <c r="AM365">
        <v>4.0040222836162501E-2</v>
      </c>
      <c r="AN365">
        <v>4.0319583487054299E-2</v>
      </c>
      <c r="AO365">
        <v>4.0182650839868599E-2</v>
      </c>
      <c r="AP365">
        <v>4.0035914164691599E-2</v>
      </c>
      <c r="AQ365">
        <v>3.9864698050750998E-2</v>
      </c>
      <c r="AR365">
        <v>3.9753510729505399E-2</v>
      </c>
      <c r="AS365">
        <v>3.9669952335487001E-2</v>
      </c>
    </row>
    <row r="366" spans="1:45" hidden="1" x14ac:dyDescent="0.3">
      <c r="A366" t="s">
        <v>748</v>
      </c>
      <c r="B366" t="s">
        <v>682</v>
      </c>
      <c r="C366" t="s">
        <v>681</v>
      </c>
      <c r="D366" t="s">
        <v>680</v>
      </c>
      <c r="E366" t="s">
        <v>746</v>
      </c>
      <c r="F366">
        <v>999</v>
      </c>
      <c r="G366">
        <v>0</v>
      </c>
      <c r="H366">
        <v>0</v>
      </c>
      <c r="I366">
        <v>0</v>
      </c>
      <c r="J366">
        <v>7.5426242596976598E-2</v>
      </c>
      <c r="K366">
        <v>7.8893160882885505E-2</v>
      </c>
      <c r="L366">
        <v>4.26601410838333E-2</v>
      </c>
      <c r="M366">
        <v>4.0757255655627801E-2</v>
      </c>
      <c r="N366">
        <v>3.3031416019193502E-2</v>
      </c>
      <c r="O366">
        <v>3.4659223752813398E-2</v>
      </c>
      <c r="P366">
        <v>3.3550548292414301E-2</v>
      </c>
      <c r="Q366">
        <v>3.26350365835733E-2</v>
      </c>
      <c r="R366">
        <v>3.1448309788837503E-2</v>
      </c>
      <c r="S366">
        <v>3.0033335548779901E-2</v>
      </c>
      <c r="T366">
        <v>2.8957146272835299E-2</v>
      </c>
      <c r="U366">
        <v>2.8194363733389599E-2</v>
      </c>
      <c r="V366">
        <v>2.7708086473765998E-2</v>
      </c>
      <c r="W366">
        <v>2.7461119082412999E-2</v>
      </c>
      <c r="X366">
        <v>2.7512194005355602E-2</v>
      </c>
      <c r="Y366">
        <v>2.62224908884389E-2</v>
      </c>
      <c r="Z366">
        <v>2.59070639413264E-2</v>
      </c>
      <c r="AA366">
        <v>2.5839605703470599E-2</v>
      </c>
      <c r="AB366">
        <v>2.61305328762413E-2</v>
      </c>
      <c r="AC366">
        <v>2.67560800595474E-2</v>
      </c>
      <c r="AD366">
        <v>2.77432111491621E-2</v>
      </c>
      <c r="AE366">
        <v>2.8843446497104599E-2</v>
      </c>
      <c r="AF366">
        <v>3.0010572229801798E-2</v>
      </c>
      <c r="AG366">
        <v>3.1682421496318197E-2</v>
      </c>
      <c r="AH366">
        <v>3.3207411021893403E-2</v>
      </c>
      <c r="AI366">
        <v>3.4807573024883999E-2</v>
      </c>
      <c r="AJ366">
        <v>3.6220472690761701E-2</v>
      </c>
      <c r="AK366">
        <v>3.7565659438558503E-2</v>
      </c>
      <c r="AL366">
        <v>3.8873482218684301E-2</v>
      </c>
      <c r="AM366">
        <v>4.0121813793730601E-2</v>
      </c>
      <c r="AN366">
        <v>4.0698941036122697E-2</v>
      </c>
      <c r="AO366">
        <v>4.0841587028870099E-2</v>
      </c>
      <c r="AP366">
        <v>4.0963132148819401E-2</v>
      </c>
      <c r="AQ366">
        <v>4.10450193051018E-2</v>
      </c>
      <c r="AR366">
        <v>4.1175667132887402E-2</v>
      </c>
      <c r="AS366">
        <v>4.1322978410713501E-2</v>
      </c>
    </row>
    <row r="367" spans="1:45" x14ac:dyDescent="0.3">
      <c r="A367" t="s">
        <v>747</v>
      </c>
      <c r="B367" t="s">
        <v>686</v>
      </c>
      <c r="C367" t="s">
        <v>681</v>
      </c>
      <c r="D367" t="s">
        <v>719</v>
      </c>
      <c r="E367" t="s">
        <v>746</v>
      </c>
      <c r="F367">
        <v>999</v>
      </c>
      <c r="G367">
        <v>0</v>
      </c>
      <c r="H367">
        <v>-44.801732158943899</v>
      </c>
      <c r="I367">
        <v>-1102.07434003351</v>
      </c>
      <c r="J367">
        <v>0.20720447512413401</v>
      </c>
      <c r="K367">
        <v>0.210499011959277</v>
      </c>
      <c r="L367">
        <v>0.19039438268502101</v>
      </c>
      <c r="M367">
        <v>0.19549821158817199</v>
      </c>
      <c r="N367">
        <v>0.171577676640709</v>
      </c>
      <c r="O367">
        <v>0.17923196206022901</v>
      </c>
      <c r="P367">
        <v>0.175147803766495</v>
      </c>
      <c r="Q367">
        <v>0.170797834049255</v>
      </c>
      <c r="R367">
        <v>0.16640812938079699</v>
      </c>
      <c r="S367">
        <v>0.162462983053203</v>
      </c>
      <c r="T367">
        <v>0.15797365631965299</v>
      </c>
      <c r="U367">
        <v>0.153877178800019</v>
      </c>
      <c r="V367">
        <v>0.15035081981443299</v>
      </c>
      <c r="W367">
        <v>0.14725344792296899</v>
      </c>
      <c r="X367">
        <v>0.144760592607862</v>
      </c>
      <c r="Y367">
        <v>0.142164252480287</v>
      </c>
      <c r="Z367">
        <v>0.13955483807792099</v>
      </c>
      <c r="AA367">
        <v>0.13654467560096101</v>
      </c>
      <c r="AB367">
        <v>0.13405669688823799</v>
      </c>
      <c r="AC367">
        <v>0.131637590628086</v>
      </c>
      <c r="AD367">
        <v>0.12951605412336201</v>
      </c>
      <c r="AE367">
        <v>0.12752519262870601</v>
      </c>
      <c r="AF367">
        <v>0.12546991165904001</v>
      </c>
      <c r="AG367">
        <v>0.123541775926094</v>
      </c>
      <c r="AH367">
        <v>0.12179257172428801</v>
      </c>
      <c r="AI367">
        <v>0.12015771263548</v>
      </c>
      <c r="AJ367">
        <v>0.118469641369177</v>
      </c>
      <c r="AK367">
        <v>0.116932236680684</v>
      </c>
      <c r="AL367">
        <v>0.115481172862725</v>
      </c>
      <c r="AM367">
        <v>0.11408656031962</v>
      </c>
      <c r="AN367">
        <v>0.11273399026245901</v>
      </c>
      <c r="AO367">
        <v>0.11150759262835</v>
      </c>
      <c r="AP367">
        <v>0.110364889347993</v>
      </c>
      <c r="AQ367">
        <v>0.10918038912908699</v>
      </c>
      <c r="AR367">
        <v>0.10817613393721601</v>
      </c>
      <c r="AS367">
        <v>0.107284235055445</v>
      </c>
    </row>
    <row r="368" spans="1:45" x14ac:dyDescent="0.3">
      <c r="A368" t="s">
        <v>747</v>
      </c>
      <c r="B368" t="s">
        <v>685</v>
      </c>
      <c r="C368" t="s">
        <v>681</v>
      </c>
      <c r="D368" t="s">
        <v>719</v>
      </c>
      <c r="E368" t="s">
        <v>746</v>
      </c>
      <c r="F368">
        <v>999</v>
      </c>
      <c r="G368">
        <v>0</v>
      </c>
      <c r="H368">
        <v>-44.801732158943899</v>
      </c>
      <c r="I368">
        <v>-1102.07434003351</v>
      </c>
      <c r="J368">
        <v>0.20720447512413401</v>
      </c>
      <c r="K368">
        <v>0.210499011959277</v>
      </c>
      <c r="L368">
        <v>0.19039438268502101</v>
      </c>
      <c r="M368">
        <v>0.19379190630787099</v>
      </c>
      <c r="N368">
        <v>0.168695924017149</v>
      </c>
      <c r="O368">
        <v>0.17490314442053501</v>
      </c>
      <c r="P368">
        <v>0.16971135785597199</v>
      </c>
      <c r="Q368">
        <v>0.164403249532319</v>
      </c>
      <c r="R368">
        <v>0.15919990174602699</v>
      </c>
      <c r="S368">
        <v>0.154556222804445</v>
      </c>
      <c r="T368">
        <v>0.14952102149687799</v>
      </c>
      <c r="U368">
        <v>0.14497657685874901</v>
      </c>
      <c r="V368">
        <v>0.141077474698242</v>
      </c>
      <c r="W368">
        <v>0.137678558044105</v>
      </c>
      <c r="X368">
        <v>0.13493270599170401</v>
      </c>
      <c r="Y368">
        <v>0.13217030234305399</v>
      </c>
      <c r="Z368">
        <v>0.12946930772155901</v>
      </c>
      <c r="AA368">
        <v>0.12646441981156001</v>
      </c>
      <c r="AB368">
        <v>0.124004132698512</v>
      </c>
      <c r="AC368">
        <v>0.12166140820570701</v>
      </c>
      <c r="AD368">
        <v>0.119641383996866</v>
      </c>
      <c r="AE368">
        <v>0.117969553719525</v>
      </c>
      <c r="AF368">
        <v>0.11631586539647799</v>
      </c>
      <c r="AG368">
        <v>0.114774488673844</v>
      </c>
      <c r="AH368">
        <v>0.11339335445933001</v>
      </c>
      <c r="AI368">
        <v>0.112112383255561</v>
      </c>
      <c r="AJ368">
        <v>0.11077494588096901</v>
      </c>
      <c r="AK368">
        <v>0.10957106018625699</v>
      </c>
      <c r="AL368">
        <v>0.108440732370433</v>
      </c>
      <c r="AM368">
        <v>0.107355911494389</v>
      </c>
      <c r="AN368">
        <v>0.106302955542238</v>
      </c>
      <c r="AO368">
        <v>0.105361292264326</v>
      </c>
      <c r="AP368">
        <v>0.104491199477144</v>
      </c>
      <c r="AQ368">
        <v>0.103573903029615</v>
      </c>
      <c r="AR368">
        <v>0.10282006365297899</v>
      </c>
      <c r="AS368">
        <v>0.102165886455004</v>
      </c>
    </row>
    <row r="369" spans="1:45" x14ac:dyDescent="0.3">
      <c r="A369" t="s">
        <v>747</v>
      </c>
      <c r="B369" t="s">
        <v>684</v>
      </c>
      <c r="C369" t="s">
        <v>681</v>
      </c>
      <c r="D369" t="s">
        <v>719</v>
      </c>
      <c r="E369" t="s">
        <v>746</v>
      </c>
      <c r="F369">
        <v>999</v>
      </c>
      <c r="G369">
        <v>0</v>
      </c>
      <c r="H369">
        <v>-478.74682017674701</v>
      </c>
      <c r="I369">
        <v>-11776.6559564614</v>
      </c>
      <c r="J369">
        <v>1.6138000723251E-2</v>
      </c>
      <c r="K369">
        <v>1.6402702718533699E-2</v>
      </c>
      <c r="L369">
        <v>1.5062011713108401E-2</v>
      </c>
      <c r="M369">
        <v>1.9784925803175198E-2</v>
      </c>
      <c r="N369">
        <v>2.0886568128794299E-2</v>
      </c>
      <c r="O369">
        <v>2.4602023836206001E-2</v>
      </c>
      <c r="P369">
        <v>2.6518836806368601E-2</v>
      </c>
      <c r="Q369">
        <v>2.8063805356345398E-2</v>
      </c>
      <c r="R369">
        <v>2.92993978502432E-2</v>
      </c>
      <c r="S369">
        <v>3.0366007891196801E-2</v>
      </c>
      <c r="T369">
        <v>3.10822870239406E-2</v>
      </c>
      <c r="U369">
        <v>3.16627861099152E-2</v>
      </c>
      <c r="V369">
        <v>3.2172073859204398E-2</v>
      </c>
      <c r="W369">
        <v>3.2608131886644798E-2</v>
      </c>
      <c r="X369">
        <v>3.3034558268436202E-2</v>
      </c>
      <c r="Y369">
        <v>3.0873568798655399E-2</v>
      </c>
      <c r="Z369">
        <v>2.8877651247966901E-2</v>
      </c>
      <c r="AA369">
        <v>2.6963119150528399E-2</v>
      </c>
      <c r="AB369">
        <v>2.5724664548104001E-2</v>
      </c>
      <c r="AC369">
        <v>2.47748289235886E-2</v>
      </c>
      <c r="AD369">
        <v>2.2637213634323399E-2</v>
      </c>
      <c r="AE369">
        <v>2.0732438497458101E-2</v>
      </c>
      <c r="AF369">
        <v>1.8993320025996199E-2</v>
      </c>
      <c r="AG369">
        <v>1.8324639447243E-2</v>
      </c>
      <c r="AH369">
        <v>1.6829836161122599E-2</v>
      </c>
      <c r="AI369">
        <v>1.5468275755230699E-2</v>
      </c>
      <c r="AJ369">
        <v>1.41990028227171E-2</v>
      </c>
      <c r="AK369">
        <v>1.30606474825995E-2</v>
      </c>
      <c r="AL369">
        <v>1.2029107717798901E-2</v>
      </c>
      <c r="AM369">
        <v>1.10921079848496E-2</v>
      </c>
      <c r="AN369">
        <v>1.0153360234818099E-2</v>
      </c>
      <c r="AO369">
        <v>9.2817153303512891E-3</v>
      </c>
      <c r="AP369">
        <v>8.50336051626281E-3</v>
      </c>
      <c r="AQ369">
        <v>7.8230880909301997E-3</v>
      </c>
      <c r="AR369">
        <v>7.2106113543561204E-3</v>
      </c>
      <c r="AS369">
        <v>6.6681105194568496E-3</v>
      </c>
    </row>
    <row r="370" spans="1:45" x14ac:dyDescent="0.3">
      <c r="A370" t="s">
        <v>747</v>
      </c>
      <c r="B370" t="s">
        <v>682</v>
      </c>
      <c r="C370" t="s">
        <v>681</v>
      </c>
      <c r="D370" t="s">
        <v>719</v>
      </c>
      <c r="E370" t="s">
        <v>746</v>
      </c>
      <c r="F370">
        <v>999</v>
      </c>
      <c r="G370">
        <v>0</v>
      </c>
      <c r="H370">
        <v>-478.74682017674701</v>
      </c>
      <c r="I370">
        <v>-11776.6559564614</v>
      </c>
      <c r="J370">
        <v>1.6146378860122702E-2</v>
      </c>
      <c r="K370">
        <v>1.6419272343181999E-2</v>
      </c>
      <c r="L370">
        <v>1.51013965678632E-2</v>
      </c>
      <c r="M370">
        <v>1.96834317154745E-2</v>
      </c>
      <c r="N370">
        <v>2.0615380879030001E-2</v>
      </c>
      <c r="O370">
        <v>2.4113725367491099E-2</v>
      </c>
      <c r="P370">
        <v>2.58293239451198E-2</v>
      </c>
      <c r="Q370">
        <v>2.7179383419345001E-2</v>
      </c>
      <c r="R370">
        <v>2.8232026297613899E-2</v>
      </c>
      <c r="S370">
        <v>2.9125479297235499E-2</v>
      </c>
      <c r="T370">
        <v>2.9689786675858001E-2</v>
      </c>
      <c r="U370">
        <v>3.0134135209390501E-2</v>
      </c>
      <c r="V370">
        <v>3.0520881038239401E-2</v>
      </c>
      <c r="W370">
        <v>3.0848806810346199E-2</v>
      </c>
      <c r="X370">
        <v>3.11784252189755E-2</v>
      </c>
      <c r="Y370">
        <v>2.9089808127378301E-2</v>
      </c>
      <c r="Z370">
        <v>2.7174833065017698E-2</v>
      </c>
      <c r="AA370">
        <v>2.5351658987199301E-2</v>
      </c>
      <c r="AB370">
        <v>2.4177203278628798E-2</v>
      </c>
      <c r="AC370">
        <v>2.3281446104142501E-2</v>
      </c>
      <c r="AD370">
        <v>2.1277068447595499E-2</v>
      </c>
      <c r="AE370">
        <v>1.95249373354432E-2</v>
      </c>
      <c r="AF370">
        <v>1.79342320528782E-2</v>
      </c>
      <c r="AG370">
        <v>1.73457366988529E-2</v>
      </c>
      <c r="AH370">
        <v>1.5971286137703E-2</v>
      </c>
      <c r="AI370">
        <v>1.47153836694377E-2</v>
      </c>
      <c r="AJ370">
        <v>1.35432155595803E-2</v>
      </c>
      <c r="AK370">
        <v>1.2489201044552801E-2</v>
      </c>
      <c r="AL370">
        <v>1.1531628858792499E-2</v>
      </c>
      <c r="AM370">
        <v>1.06594697520413E-2</v>
      </c>
      <c r="AN370">
        <v>9.7810639886320092E-3</v>
      </c>
      <c r="AO370">
        <v>8.9621628028343798E-3</v>
      </c>
      <c r="AP370">
        <v>8.2289095622640092E-3</v>
      </c>
      <c r="AQ370">
        <v>7.58579862451978E-3</v>
      </c>
      <c r="AR370">
        <v>7.0065619021059998E-3</v>
      </c>
      <c r="AS370">
        <v>6.4924246582311902E-3</v>
      </c>
    </row>
    <row r="371" spans="1:45" hidden="1" x14ac:dyDescent="0.3">
      <c r="A371" t="s">
        <v>745</v>
      </c>
      <c r="B371" t="s">
        <v>686</v>
      </c>
      <c r="C371" t="s">
        <v>681</v>
      </c>
      <c r="D371" t="s">
        <v>680</v>
      </c>
      <c r="E371" t="s">
        <v>22</v>
      </c>
      <c r="F371">
        <v>-6.0585786964662098</v>
      </c>
      <c r="G371">
        <v>48.773323496087201</v>
      </c>
      <c r="H371">
        <v>65.551363408509005</v>
      </c>
      <c r="I371">
        <v>1612.49299166844</v>
      </c>
      <c r="J371">
        <v>0.34761580864769998</v>
      </c>
      <c r="K371">
        <v>0.34809760228140002</v>
      </c>
      <c r="L371">
        <v>0.34749909686656799</v>
      </c>
      <c r="M371">
        <v>0.351235037151025</v>
      </c>
      <c r="N371">
        <v>0.353280364807259</v>
      </c>
      <c r="O371">
        <v>0.35281057063096999</v>
      </c>
      <c r="P371">
        <v>0.349322297597359</v>
      </c>
      <c r="Q371">
        <v>0.34715233219828201</v>
      </c>
      <c r="R371">
        <v>0.345511183090563</v>
      </c>
      <c r="S371">
        <v>0.34473137281190103</v>
      </c>
      <c r="T371">
        <v>0.34230290637863398</v>
      </c>
      <c r="U371">
        <v>0.340088290492089</v>
      </c>
      <c r="V371">
        <v>0.33869949214484601</v>
      </c>
      <c r="W371">
        <v>0.33791810389688598</v>
      </c>
      <c r="X371">
        <v>0.33826143257775299</v>
      </c>
      <c r="Y371">
        <v>0.33837658346694</v>
      </c>
      <c r="Z371">
        <v>0.33832300185134601</v>
      </c>
      <c r="AA371">
        <v>0.33722574001519201</v>
      </c>
      <c r="AB371">
        <v>0.33736074907283597</v>
      </c>
      <c r="AC371">
        <v>0.33743637155851403</v>
      </c>
      <c r="AD371">
        <v>0.33827749353437098</v>
      </c>
      <c r="AE371">
        <v>0.33937678370803598</v>
      </c>
      <c r="AF371">
        <v>0.33994124487363198</v>
      </c>
      <c r="AG371">
        <v>0.340634840914319</v>
      </c>
      <c r="AH371">
        <v>0.341592937674492</v>
      </c>
      <c r="AI371">
        <v>0.34272035619711699</v>
      </c>
      <c r="AJ371">
        <v>0.34343609979800299</v>
      </c>
      <c r="AK371">
        <v>0.34431823006685303</v>
      </c>
      <c r="AL371">
        <v>0.34531575563449401</v>
      </c>
      <c r="AM371">
        <v>0.34653278700022</v>
      </c>
      <c r="AN371">
        <v>0.34777786340953798</v>
      </c>
      <c r="AO371">
        <v>0.34910738412348002</v>
      </c>
      <c r="AP371">
        <v>0.35067920650303203</v>
      </c>
      <c r="AQ371">
        <v>0.352001071884678</v>
      </c>
      <c r="AR371">
        <v>0.35366607554642898</v>
      </c>
      <c r="AS371">
        <v>0.35528747206821398</v>
      </c>
    </row>
    <row r="372" spans="1:45" hidden="1" x14ac:dyDescent="0.3">
      <c r="A372" t="s">
        <v>745</v>
      </c>
      <c r="B372" t="s">
        <v>685</v>
      </c>
      <c r="C372" t="s">
        <v>681</v>
      </c>
      <c r="D372" t="s">
        <v>680</v>
      </c>
      <c r="E372" t="s">
        <v>22</v>
      </c>
      <c r="F372">
        <v>-6.0585786964662098</v>
      </c>
      <c r="G372">
        <v>48.773323496087201</v>
      </c>
      <c r="H372">
        <v>65.551363408509005</v>
      </c>
      <c r="I372">
        <v>1612.49299166844</v>
      </c>
      <c r="J372">
        <v>0.33301120271196499</v>
      </c>
      <c r="K372">
        <v>0.31797760988125801</v>
      </c>
      <c r="L372">
        <v>0.30232520800638102</v>
      </c>
      <c r="M372">
        <v>0.29053795274667699</v>
      </c>
      <c r="N372">
        <v>0.277489351979609</v>
      </c>
      <c r="O372">
        <v>0.262895536606504</v>
      </c>
      <c r="P372">
        <v>0.24672525698473399</v>
      </c>
      <c r="Q372">
        <v>0.232195881695864</v>
      </c>
      <c r="R372">
        <v>0.218648425679171</v>
      </c>
      <c r="S372">
        <v>0.20618897058062199</v>
      </c>
      <c r="T372">
        <v>0.19328509276478301</v>
      </c>
      <c r="U372">
        <v>0.181080391866249</v>
      </c>
      <c r="V372">
        <v>0.17499298766079399</v>
      </c>
      <c r="W372">
        <v>0.174589274436521</v>
      </c>
      <c r="X372">
        <v>0.17476665914777101</v>
      </c>
      <c r="Y372">
        <v>0.17482615317890399</v>
      </c>
      <c r="Z372">
        <v>0.174798469621019</v>
      </c>
      <c r="AA372">
        <v>0.17423155667485901</v>
      </c>
      <c r="AB372">
        <v>0.174301310657095</v>
      </c>
      <c r="AC372">
        <v>0.17434038188397899</v>
      </c>
      <c r="AD372">
        <v>0.17477495722570799</v>
      </c>
      <c r="AE372">
        <v>0.17534291813576899</v>
      </c>
      <c r="AF372">
        <v>0.175634553488278</v>
      </c>
      <c r="AG372">
        <v>0.175992907859054</v>
      </c>
      <c r="AH372">
        <v>0.17648791956831</v>
      </c>
      <c r="AI372">
        <v>0.17707041331333701</v>
      </c>
      <c r="AJ372">
        <v>0.17744021047578601</v>
      </c>
      <c r="AK372">
        <v>0.177895973223685</v>
      </c>
      <c r="AL372">
        <v>0.17841135627975099</v>
      </c>
      <c r="AM372">
        <v>0.17904014953071401</v>
      </c>
      <c r="AN372">
        <v>0.179683432575967</v>
      </c>
      <c r="AO372">
        <v>0.180370344742313</v>
      </c>
      <c r="AP372">
        <v>0.18118244485066601</v>
      </c>
      <c r="AQ372">
        <v>0.18186540180154601</v>
      </c>
      <c r="AR372">
        <v>0.182725645090931</v>
      </c>
      <c r="AS372">
        <v>0.183563358249971</v>
      </c>
    </row>
    <row r="373" spans="1:45" hidden="1" x14ac:dyDescent="0.3">
      <c r="A373" t="s">
        <v>745</v>
      </c>
      <c r="B373" t="s">
        <v>684</v>
      </c>
      <c r="C373" t="s">
        <v>681</v>
      </c>
      <c r="D373" t="s">
        <v>680</v>
      </c>
      <c r="E373" t="s">
        <v>22</v>
      </c>
      <c r="F373">
        <v>-6.0585786964662098</v>
      </c>
      <c r="G373">
        <v>48.773323496087201</v>
      </c>
      <c r="H373">
        <v>999</v>
      </c>
      <c r="I373">
        <v>999</v>
      </c>
      <c r="J373">
        <v>2.9802322387695302E-17</v>
      </c>
      <c r="K373">
        <v>1.7229467630386399E-17</v>
      </c>
      <c r="L373">
        <v>8.3819031715393093E-18</v>
      </c>
      <c r="M373">
        <v>-5.0291419029235797E-17</v>
      </c>
      <c r="N373">
        <v>1.49011611938477E-17</v>
      </c>
      <c r="O373">
        <v>-4.4703483581542999E-17</v>
      </c>
      <c r="P373">
        <v>7.4505805969238301E-18</v>
      </c>
      <c r="Q373">
        <v>1.49011611938477E-17</v>
      </c>
      <c r="R373">
        <v>0</v>
      </c>
      <c r="S373">
        <v>-5.2154064178466802E-17</v>
      </c>
      <c r="T373">
        <v>1.8626451492309602E-17</v>
      </c>
      <c r="U373">
        <v>-2.9802322387695302E-17</v>
      </c>
      <c r="V373">
        <v>2.23517417907715E-17</v>
      </c>
      <c r="W373">
        <v>3.7252902984619098E-17</v>
      </c>
      <c r="X373">
        <v>7.4505805969238301E-18</v>
      </c>
      <c r="Y373">
        <v>-4.4703483581542999E-17</v>
      </c>
      <c r="Z373">
        <v>-7.4505805969238301E-18</v>
      </c>
      <c r="AA373">
        <v>1.49011611938477E-17</v>
      </c>
      <c r="AB373">
        <v>-3.7252902984619098E-17</v>
      </c>
      <c r="AC373">
        <v>4.4703483581542999E-17</v>
      </c>
      <c r="AD373">
        <v>-2.23517417907715E-17</v>
      </c>
      <c r="AE373">
        <v>-7.4505805969238301E-18</v>
      </c>
      <c r="AF373">
        <v>-2.23517417907715E-17</v>
      </c>
      <c r="AG373">
        <v>0</v>
      </c>
      <c r="AH373">
        <v>-1.49011611938477E-17</v>
      </c>
      <c r="AI373">
        <v>5.9604644775390604E-17</v>
      </c>
      <c r="AJ373">
        <v>1.49011611938477E-17</v>
      </c>
      <c r="AK373">
        <v>4.4703483581542999E-17</v>
      </c>
      <c r="AL373">
        <v>7.4505805969238295E-17</v>
      </c>
      <c r="AM373">
        <v>2.9802322387695302E-17</v>
      </c>
      <c r="AN373">
        <v>2.9802322387695302E-17</v>
      </c>
      <c r="AO373">
        <v>-7.4505805969238295E-17</v>
      </c>
      <c r="AP373">
        <v>2.9802322387695302E-17</v>
      </c>
      <c r="AQ373">
        <v>-5.9604644775390604E-17</v>
      </c>
      <c r="AR373">
        <v>-1.49011611938477E-17</v>
      </c>
      <c r="AS373">
        <v>0</v>
      </c>
    </row>
    <row r="374" spans="1:45" hidden="1" x14ac:dyDescent="0.3">
      <c r="A374" t="s">
        <v>745</v>
      </c>
      <c r="B374" t="s">
        <v>682</v>
      </c>
      <c r="C374" t="s">
        <v>681</v>
      </c>
      <c r="D374" t="s">
        <v>680</v>
      </c>
      <c r="E374" t="s">
        <v>22</v>
      </c>
      <c r="F374">
        <v>-6.0585786964662098</v>
      </c>
      <c r="G374">
        <v>48.773323496087201</v>
      </c>
      <c r="H374">
        <v>999</v>
      </c>
      <c r="I374">
        <v>999</v>
      </c>
      <c r="J374">
        <v>-2.9802322387695302E-17</v>
      </c>
      <c r="K374">
        <v>-1.7695128917694099E-17</v>
      </c>
      <c r="L374">
        <v>-1.67638063430786E-17</v>
      </c>
      <c r="M374">
        <v>-9.31322574615479E-18</v>
      </c>
      <c r="N374">
        <v>-6.7986547946929899E-17</v>
      </c>
      <c r="O374">
        <v>-9.31322574615479E-18</v>
      </c>
      <c r="P374">
        <v>1.30385160446167E-17</v>
      </c>
      <c r="Q374">
        <v>-2.6077032089233401E-17</v>
      </c>
      <c r="R374">
        <v>4.2840838432312001E-17</v>
      </c>
      <c r="S374">
        <v>1.8626451492309598E-18</v>
      </c>
      <c r="T374">
        <v>2.0489096641540501E-17</v>
      </c>
      <c r="U374">
        <v>7.4505805969238301E-18</v>
      </c>
      <c r="V374">
        <v>3.7252902984619097E-18</v>
      </c>
      <c r="W374">
        <v>-7.4505805969238301E-18</v>
      </c>
      <c r="X374">
        <v>1.49011611938477E-17</v>
      </c>
      <c r="Y374">
        <v>0</v>
      </c>
      <c r="Z374">
        <v>1.1175870895385701E-17</v>
      </c>
      <c r="AA374">
        <v>1.8626451492309602E-17</v>
      </c>
      <c r="AB374">
        <v>1.1175870895385701E-17</v>
      </c>
      <c r="AC374">
        <v>-3.7252902984619097E-18</v>
      </c>
      <c r="AD374">
        <v>1.49011611938477E-17</v>
      </c>
      <c r="AE374">
        <v>1.49011611938477E-17</v>
      </c>
      <c r="AF374">
        <v>-2.23517417907715E-17</v>
      </c>
      <c r="AG374">
        <v>1.49011611938477E-17</v>
      </c>
      <c r="AH374">
        <v>1.49011611938477E-17</v>
      </c>
      <c r="AI374">
        <v>1.49011611938477E-17</v>
      </c>
      <c r="AJ374">
        <v>0</v>
      </c>
      <c r="AK374">
        <v>0</v>
      </c>
      <c r="AL374">
        <v>-2.23517417907715E-17</v>
      </c>
      <c r="AM374">
        <v>-7.4505805969238301E-18</v>
      </c>
      <c r="AN374">
        <v>2.9802322387695302E-17</v>
      </c>
      <c r="AO374">
        <v>7.4505805969238301E-18</v>
      </c>
      <c r="AP374">
        <v>-7.4505805969238301E-18</v>
      </c>
      <c r="AQ374">
        <v>-7.4505805969238301E-18</v>
      </c>
      <c r="AR374">
        <v>-1.49011611938477E-17</v>
      </c>
      <c r="AS374">
        <v>1.49011611938477E-17</v>
      </c>
    </row>
    <row r="375" spans="1:45" hidden="1" x14ac:dyDescent="0.3">
      <c r="A375" t="s">
        <v>744</v>
      </c>
      <c r="B375" t="s">
        <v>686</v>
      </c>
      <c r="C375" t="s">
        <v>681</v>
      </c>
      <c r="D375" t="s">
        <v>680</v>
      </c>
      <c r="E375" t="s">
        <v>22</v>
      </c>
      <c r="F375">
        <v>-27.4037322839174</v>
      </c>
      <c r="G375">
        <v>999</v>
      </c>
      <c r="H375">
        <v>534.40045262366095</v>
      </c>
      <c r="I375">
        <v>2944.5798981071298</v>
      </c>
      <c r="J375">
        <v>0.1141716042524</v>
      </c>
      <c r="K375">
        <v>0.1123541622432</v>
      </c>
      <c r="L375">
        <v>0.11092353649809999</v>
      </c>
      <c r="M375">
        <v>0.1107798461882</v>
      </c>
      <c r="N375">
        <v>0.11097512410469999</v>
      </c>
      <c r="O375">
        <v>0.1107830268561</v>
      </c>
      <c r="P375">
        <v>0.1104975271623</v>
      </c>
      <c r="Q375">
        <v>0.11036766747020001</v>
      </c>
      <c r="R375">
        <v>0.1104035249279</v>
      </c>
      <c r="S375">
        <v>0.110597295055</v>
      </c>
      <c r="T375">
        <v>0.1110324105873</v>
      </c>
      <c r="U375">
        <v>0.1117440376137</v>
      </c>
      <c r="V375">
        <v>0.11268692688119999</v>
      </c>
      <c r="W375">
        <v>0.11382120650579999</v>
      </c>
      <c r="X375">
        <v>0.1151376803855</v>
      </c>
      <c r="Y375">
        <v>0.1166722550088</v>
      </c>
      <c r="Z375">
        <v>0.1182042969322</v>
      </c>
      <c r="AA375">
        <v>0.1196094771237</v>
      </c>
      <c r="AB375">
        <v>0.1209693132617</v>
      </c>
      <c r="AC375">
        <v>0.12235099873620001</v>
      </c>
      <c r="AD375">
        <v>0.1237488502231</v>
      </c>
      <c r="AE375">
        <v>0.12508811431889999</v>
      </c>
      <c r="AF375">
        <v>0.12638855441890001</v>
      </c>
      <c r="AG375">
        <v>0.12768835790300001</v>
      </c>
      <c r="AH375">
        <v>0.1289688798093</v>
      </c>
      <c r="AI375">
        <v>0.13024377865190001</v>
      </c>
      <c r="AJ375">
        <v>0.13155626124719999</v>
      </c>
      <c r="AK375">
        <v>0.1328732741509</v>
      </c>
      <c r="AL375">
        <v>0.13422141264820001</v>
      </c>
      <c r="AM375">
        <v>0.1356342023546</v>
      </c>
      <c r="AN375">
        <v>0.13711610135659999</v>
      </c>
      <c r="AO375">
        <v>0.1386664322118</v>
      </c>
      <c r="AP375">
        <v>0.1402578120289</v>
      </c>
      <c r="AQ375">
        <v>0.1418388232691</v>
      </c>
      <c r="AR375">
        <v>0.14339112650159999</v>
      </c>
      <c r="AS375">
        <v>0.14496366097300001</v>
      </c>
    </row>
    <row r="376" spans="1:45" hidden="1" x14ac:dyDescent="0.3">
      <c r="A376" t="s">
        <v>744</v>
      </c>
      <c r="B376" t="s">
        <v>685</v>
      </c>
      <c r="C376" t="s">
        <v>681</v>
      </c>
      <c r="D376" t="s">
        <v>680</v>
      </c>
      <c r="E376" t="s">
        <v>22</v>
      </c>
      <c r="F376">
        <v>-27.4037322839174</v>
      </c>
      <c r="G376">
        <v>999</v>
      </c>
      <c r="H376">
        <v>534.40045262366095</v>
      </c>
      <c r="I376">
        <v>2944.5798981071298</v>
      </c>
      <c r="J376">
        <v>0.114667711796135</v>
      </c>
      <c r="K376">
        <v>0.113355071899224</v>
      </c>
      <c r="L376">
        <v>0.112109194333252</v>
      </c>
      <c r="M376">
        <v>0.11200743964208799</v>
      </c>
      <c r="N376">
        <v>0.112128543871715</v>
      </c>
      <c r="O376">
        <v>0.111640462404965</v>
      </c>
      <c r="P376">
        <v>0.110543072354484</v>
      </c>
      <c r="Q376">
        <v>0.109476033986097</v>
      </c>
      <c r="R376">
        <v>0.108556518646655</v>
      </c>
      <c r="S376">
        <v>0.1080749650456</v>
      </c>
      <c r="T376">
        <v>0.107497551183343</v>
      </c>
      <c r="U376">
        <v>0.10717267381344101</v>
      </c>
      <c r="V376">
        <v>0.107276408330998</v>
      </c>
      <c r="W376">
        <v>0.10780946381828301</v>
      </c>
      <c r="X376">
        <v>0.10880583331355</v>
      </c>
      <c r="Y376">
        <v>0.10989536233203601</v>
      </c>
      <c r="Z376">
        <v>0.110869681348544</v>
      </c>
      <c r="AA376">
        <v>0.11135593758140799</v>
      </c>
      <c r="AB376">
        <v>0.112172555096933</v>
      </c>
      <c r="AC376">
        <v>0.112902555684587</v>
      </c>
      <c r="AD376">
        <v>0.113846702362077</v>
      </c>
      <c r="AE376">
        <v>0.114846458495159</v>
      </c>
      <c r="AF376">
        <v>0.115654380711431</v>
      </c>
      <c r="AG376">
        <v>0.11651978598149999</v>
      </c>
      <c r="AH376">
        <v>0.11742668028014799</v>
      </c>
      <c r="AI376">
        <v>0.118288124949934</v>
      </c>
      <c r="AJ376">
        <v>0.119140736924072</v>
      </c>
      <c r="AK376">
        <v>0.11996848505471</v>
      </c>
      <c r="AL376">
        <v>0.120853986183013</v>
      </c>
      <c r="AM376">
        <v>0.121809912672555</v>
      </c>
      <c r="AN376">
        <v>0.12282902754170499</v>
      </c>
      <c r="AO376">
        <v>0.12394171580978799</v>
      </c>
      <c r="AP376">
        <v>0.125191412409108</v>
      </c>
      <c r="AQ376">
        <v>0.12636624172802799</v>
      </c>
      <c r="AR376">
        <v>0.127570497195722</v>
      </c>
      <c r="AS376">
        <v>0.12872711049288699</v>
      </c>
    </row>
    <row r="377" spans="1:45" hidden="1" x14ac:dyDescent="0.3">
      <c r="A377" t="s">
        <v>744</v>
      </c>
      <c r="B377" t="s">
        <v>684</v>
      </c>
      <c r="C377" t="s">
        <v>681</v>
      </c>
      <c r="D377" t="s">
        <v>680</v>
      </c>
      <c r="E377" t="s">
        <v>22</v>
      </c>
      <c r="F377">
        <v>-27.4037322839174</v>
      </c>
      <c r="G377">
        <v>999</v>
      </c>
      <c r="H377">
        <v>999</v>
      </c>
      <c r="I377">
        <v>999</v>
      </c>
      <c r="J377">
        <v>-3.7252902984619097E-18</v>
      </c>
      <c r="K377">
        <v>-8.7165972217917397E-18</v>
      </c>
      <c r="L377">
        <v>-4.3073669075965897E-18</v>
      </c>
      <c r="M377">
        <v>5.9953890740871396E-18</v>
      </c>
      <c r="N377">
        <v>3.5506673157215097E-18</v>
      </c>
      <c r="O377">
        <v>9.6042640507221196E-18</v>
      </c>
      <c r="P377">
        <v>1.71130523085594E-17</v>
      </c>
      <c r="Q377">
        <v>-2.02562659978867E-17</v>
      </c>
      <c r="R377">
        <v>6.28642737865448E-18</v>
      </c>
      <c r="S377">
        <v>-1.9790604710578899E-18</v>
      </c>
      <c r="T377">
        <v>-2.1187588572502101E-17</v>
      </c>
      <c r="U377">
        <v>1.8626451492309598E-18</v>
      </c>
      <c r="V377">
        <v>3.8300640881061603E-17</v>
      </c>
      <c r="W377">
        <v>1.7695128917694099E-17</v>
      </c>
      <c r="X377">
        <v>-4.4237822294235202E-18</v>
      </c>
      <c r="Y377">
        <v>-2.09547579288483E-18</v>
      </c>
      <c r="Z377">
        <v>-4.7730281949043301E-18</v>
      </c>
      <c r="AA377">
        <v>-7.21774995326996E-18</v>
      </c>
      <c r="AB377">
        <v>1.12922862172127E-17</v>
      </c>
      <c r="AC377">
        <v>-5.5879354476928703E-18</v>
      </c>
      <c r="AD377">
        <v>4.0745362639427203E-18</v>
      </c>
      <c r="AE377">
        <v>-8.0326572060585002E-18</v>
      </c>
      <c r="AF377">
        <v>-1.71130523085594E-17</v>
      </c>
      <c r="AG377">
        <v>5.5879354476928703E-18</v>
      </c>
      <c r="AH377">
        <v>1.51339918375015E-18</v>
      </c>
      <c r="AI377">
        <v>2.316664904356E-17</v>
      </c>
      <c r="AJ377">
        <v>-3.0267983675003099E-18</v>
      </c>
      <c r="AK377">
        <v>-2.8288923203945202E-17</v>
      </c>
      <c r="AL377">
        <v>-2.16532498598099E-17</v>
      </c>
      <c r="AM377">
        <v>-2.70083546638489E-17</v>
      </c>
      <c r="AN377">
        <v>2.38651409745216E-17</v>
      </c>
      <c r="AO377">
        <v>1.4435499906539901E-17</v>
      </c>
      <c r="AP377">
        <v>5.2386894822120696E-18</v>
      </c>
      <c r="AQ377">
        <v>-3.5390257835388199E-17</v>
      </c>
      <c r="AR377">
        <v>2.02562659978867E-17</v>
      </c>
      <c r="AS377">
        <v>-1.4319084584713001E-17</v>
      </c>
    </row>
    <row r="378" spans="1:45" hidden="1" x14ac:dyDescent="0.3">
      <c r="A378" t="s">
        <v>744</v>
      </c>
      <c r="B378" t="s">
        <v>682</v>
      </c>
      <c r="C378" t="s">
        <v>681</v>
      </c>
      <c r="D378" t="s">
        <v>680</v>
      </c>
      <c r="E378" t="s">
        <v>22</v>
      </c>
      <c r="F378">
        <v>-27.4037322839174</v>
      </c>
      <c r="G378">
        <v>999</v>
      </c>
      <c r="H378">
        <v>999</v>
      </c>
      <c r="I378">
        <v>999</v>
      </c>
      <c r="J378">
        <v>2.7939677238464402E-18</v>
      </c>
      <c r="K378">
        <v>-1.40571501106024E-17</v>
      </c>
      <c r="L378">
        <v>-1.57160684466362E-18</v>
      </c>
      <c r="M378">
        <v>-9.9535100162029303E-18</v>
      </c>
      <c r="N378">
        <v>-7.6834112405777003E-18</v>
      </c>
      <c r="O378">
        <v>-9.3714334070682494E-18</v>
      </c>
      <c r="P378">
        <v>9.6624717116355898E-18</v>
      </c>
      <c r="Q378">
        <v>-1.17579475045204E-17</v>
      </c>
      <c r="R378">
        <v>-8.7311491370201107E-18</v>
      </c>
      <c r="S378">
        <v>1.68802216649055E-17</v>
      </c>
      <c r="T378">
        <v>3.8417056202888502E-18</v>
      </c>
      <c r="U378">
        <v>-7.3341652750968897E-18</v>
      </c>
      <c r="V378">
        <v>-4.5401975512504599E-18</v>
      </c>
      <c r="W378">
        <v>5.2386894822120696E-18</v>
      </c>
      <c r="X378">
        <v>-6.4028427004814197E-18</v>
      </c>
      <c r="Y378">
        <v>1.04773789644241E-18</v>
      </c>
      <c r="Z378">
        <v>4.5401975512504599E-18</v>
      </c>
      <c r="AA378">
        <v>-6.9849193096160898E-19</v>
      </c>
      <c r="AB378">
        <v>-2.13040038943291E-17</v>
      </c>
      <c r="AC378">
        <v>-5.8207660913467397E-18</v>
      </c>
      <c r="AD378">
        <v>-7.1013346314430195E-18</v>
      </c>
      <c r="AE378">
        <v>-2.0721927285194401E-17</v>
      </c>
      <c r="AF378">
        <v>-1.3969838619232201E-18</v>
      </c>
      <c r="AG378">
        <v>6.28642737865448E-18</v>
      </c>
      <c r="AH378">
        <v>-1.9092112779617299E-17</v>
      </c>
      <c r="AI378">
        <v>1.7462298274040201E-18</v>
      </c>
      <c r="AJ378">
        <v>2.8172507882118197E-17</v>
      </c>
      <c r="AK378">
        <v>1.1990778148174299E-17</v>
      </c>
      <c r="AL378">
        <v>-2.4912878870964101E-17</v>
      </c>
      <c r="AM378">
        <v>-1.1175870895385701E-17</v>
      </c>
      <c r="AN378">
        <v>-1.2805685400962799E-17</v>
      </c>
      <c r="AO378">
        <v>-1.21071934700012E-17</v>
      </c>
      <c r="AP378">
        <v>-1.3504177331924401E-17</v>
      </c>
      <c r="AQ378">
        <v>2.4447217583656299E-17</v>
      </c>
      <c r="AR378">
        <v>-4.3073669075965897E-18</v>
      </c>
      <c r="AS378">
        <v>-2.4912878870964101E-17</v>
      </c>
    </row>
    <row r="379" spans="1:45" hidden="1" x14ac:dyDescent="0.3">
      <c r="A379" t="s">
        <v>743</v>
      </c>
      <c r="B379" t="s">
        <v>686</v>
      </c>
      <c r="C379" t="s">
        <v>681</v>
      </c>
      <c r="D379" t="s">
        <v>680</v>
      </c>
      <c r="E379" t="s">
        <v>679</v>
      </c>
      <c r="F379">
        <v>999</v>
      </c>
      <c r="G379">
        <v>0</v>
      </c>
      <c r="H379">
        <v>999</v>
      </c>
      <c r="I379">
        <v>999</v>
      </c>
      <c r="J379">
        <v>0.56961824185000998</v>
      </c>
      <c r="K379">
        <v>0.53716630407532096</v>
      </c>
      <c r="L379">
        <v>0.49253725325166398</v>
      </c>
      <c r="M379">
        <v>0.61701178580512195</v>
      </c>
      <c r="N379">
        <v>0.56827277081462602</v>
      </c>
      <c r="O379">
        <v>0.57014145071799005</v>
      </c>
      <c r="P379">
        <v>0.56792018202651895</v>
      </c>
      <c r="Q379">
        <v>0.56514599764837303</v>
      </c>
      <c r="R379">
        <v>0.56195529576208103</v>
      </c>
      <c r="S379">
        <v>0.55972094717147602</v>
      </c>
      <c r="T379">
        <v>0.55605767645750104</v>
      </c>
      <c r="U379">
        <v>0.55294116796242998</v>
      </c>
      <c r="V379">
        <v>0.55129225805554205</v>
      </c>
      <c r="W379">
        <v>0.550495997135937</v>
      </c>
      <c r="X379">
        <v>0.55143000080445004</v>
      </c>
      <c r="Y379">
        <v>0.55222309420841098</v>
      </c>
      <c r="Z379">
        <v>0.55296419694036603</v>
      </c>
      <c r="AA379">
        <v>0.552274257000549</v>
      </c>
      <c r="AB379">
        <v>0.55288489497826698</v>
      </c>
      <c r="AC379">
        <v>0.553912194374097</v>
      </c>
      <c r="AD379">
        <v>0.55587050638588098</v>
      </c>
      <c r="AE379">
        <v>0.55813260776078299</v>
      </c>
      <c r="AF379">
        <v>0.56018057492415596</v>
      </c>
      <c r="AG379">
        <v>0.56239046915391799</v>
      </c>
      <c r="AH379">
        <v>0.56487139795354102</v>
      </c>
      <c r="AI379">
        <v>0.56758052067018805</v>
      </c>
      <c r="AJ379">
        <v>0.56983696392654704</v>
      </c>
      <c r="AK379">
        <v>0.57243643512947895</v>
      </c>
      <c r="AL379">
        <v>0.57511380737377804</v>
      </c>
      <c r="AM379">
        <v>0.57787877076718897</v>
      </c>
      <c r="AN379">
        <v>0.58054804986623199</v>
      </c>
      <c r="AO379">
        <v>0.58344394819303702</v>
      </c>
      <c r="AP379">
        <v>0.58624526901033802</v>
      </c>
      <c r="AQ379">
        <v>0.58871165774432399</v>
      </c>
      <c r="AR379">
        <v>0.59142985929146197</v>
      </c>
      <c r="AS379">
        <v>0.59437539624264402</v>
      </c>
    </row>
    <row r="380" spans="1:45" hidden="1" x14ac:dyDescent="0.3">
      <c r="A380" t="s">
        <v>743</v>
      </c>
      <c r="B380" t="s">
        <v>685</v>
      </c>
      <c r="C380" t="s">
        <v>681</v>
      </c>
      <c r="D380" t="s">
        <v>680</v>
      </c>
      <c r="E380" t="s">
        <v>679</v>
      </c>
      <c r="F380">
        <v>999</v>
      </c>
      <c r="G380">
        <v>0</v>
      </c>
      <c r="H380">
        <v>999</v>
      </c>
      <c r="I380">
        <v>999</v>
      </c>
      <c r="J380">
        <v>0.56837508737234799</v>
      </c>
      <c r="K380">
        <v>0.53460275100299204</v>
      </c>
      <c r="L380">
        <v>0.48897038746636701</v>
      </c>
      <c r="M380">
        <v>0.61095629516238303</v>
      </c>
      <c r="N380">
        <v>0.56142739416659304</v>
      </c>
      <c r="O380">
        <v>0.56238748231643598</v>
      </c>
      <c r="P380">
        <v>0.55935747824035398</v>
      </c>
      <c r="Q380">
        <v>0.55601707353096896</v>
      </c>
      <c r="R380">
        <v>0.55258220456078599</v>
      </c>
      <c r="S380">
        <v>0.550362199220776</v>
      </c>
      <c r="T380">
        <v>0.54709968971117795</v>
      </c>
      <c r="U380">
        <v>0.544905402272154</v>
      </c>
      <c r="V380">
        <v>0.54473764491388199</v>
      </c>
      <c r="W380">
        <v>0.54615557813566795</v>
      </c>
      <c r="X380">
        <v>0.54994490149207698</v>
      </c>
      <c r="Y380">
        <v>0.55433338446706404</v>
      </c>
      <c r="Z380">
        <v>0.55959036167230303</v>
      </c>
      <c r="AA380">
        <v>0.56436641791268904</v>
      </c>
      <c r="AB380">
        <v>0.57108709166167704</v>
      </c>
      <c r="AC380">
        <v>0.57932085044469595</v>
      </c>
      <c r="AD380">
        <v>0.58972481716879399</v>
      </c>
      <c r="AE380">
        <v>0.60114416312615304</v>
      </c>
      <c r="AF380">
        <v>0.61315038052053905</v>
      </c>
      <c r="AG380">
        <v>0.62668352870504096</v>
      </c>
      <c r="AH380">
        <v>0.63929758390769098</v>
      </c>
      <c r="AI380">
        <v>0.652360444396203</v>
      </c>
      <c r="AJ380">
        <v>0.66519672941202901</v>
      </c>
      <c r="AK380">
        <v>0.678552716141263</v>
      </c>
      <c r="AL380">
        <v>0.69227456969721501</v>
      </c>
      <c r="AM380">
        <v>0.70635035332503204</v>
      </c>
      <c r="AN380">
        <v>0.72038591880776004</v>
      </c>
      <c r="AO380">
        <v>0.73493920249740297</v>
      </c>
      <c r="AP380">
        <v>0.74958588780408697</v>
      </c>
      <c r="AQ380">
        <v>0.76382727166019304</v>
      </c>
      <c r="AR380">
        <v>0.7785867440052</v>
      </c>
      <c r="AS380">
        <v>0.793820639939119</v>
      </c>
    </row>
    <row r="381" spans="1:45" hidden="1" x14ac:dyDescent="0.3">
      <c r="A381" t="s">
        <v>743</v>
      </c>
      <c r="B381" t="s">
        <v>684</v>
      </c>
      <c r="C381" t="s">
        <v>681</v>
      </c>
      <c r="D381" t="s">
        <v>680</v>
      </c>
      <c r="E381" t="s">
        <v>679</v>
      </c>
      <c r="F381">
        <v>999</v>
      </c>
      <c r="G381">
        <v>0</v>
      </c>
      <c r="H381">
        <v>0</v>
      </c>
      <c r="I381">
        <v>0</v>
      </c>
      <c r="J381">
        <v>0.252874651596667</v>
      </c>
      <c r="K381">
        <v>0.23465407589099899</v>
      </c>
      <c r="L381">
        <v>0.35291024526140002</v>
      </c>
      <c r="M381">
        <v>0.47233601029010702</v>
      </c>
      <c r="N381">
        <v>0.442689143827315</v>
      </c>
      <c r="O381">
        <v>0.43407828145525901</v>
      </c>
      <c r="P381">
        <v>0.42003605669400201</v>
      </c>
      <c r="Q381">
        <v>0.40745305407125298</v>
      </c>
      <c r="R381">
        <v>0.39875546065592699</v>
      </c>
      <c r="S381">
        <v>0.39132324720591199</v>
      </c>
      <c r="T381">
        <v>0.38551757230809802</v>
      </c>
      <c r="U381">
        <v>0.379236259277276</v>
      </c>
      <c r="V381">
        <v>0.37347654743383801</v>
      </c>
      <c r="W381">
        <v>0.36775924228180501</v>
      </c>
      <c r="X381">
        <v>0.36250838113052802</v>
      </c>
      <c r="Y381">
        <v>0.36269916855231499</v>
      </c>
      <c r="Z381">
        <v>0.35630209579963201</v>
      </c>
      <c r="AA381">
        <v>0.34669959161473601</v>
      </c>
      <c r="AB381">
        <v>0.33618246926510398</v>
      </c>
      <c r="AC381">
        <v>0.32372425668270399</v>
      </c>
      <c r="AD381">
        <v>0.309477380508482</v>
      </c>
      <c r="AE381">
        <v>0.294628370086428</v>
      </c>
      <c r="AF381">
        <v>0.27867344951823603</v>
      </c>
      <c r="AG381">
        <v>0.25854602543510102</v>
      </c>
      <c r="AH381">
        <v>0.240377273231971</v>
      </c>
      <c r="AI381">
        <v>0.22246260720987801</v>
      </c>
      <c r="AJ381">
        <v>0.205811017055756</v>
      </c>
      <c r="AK381">
        <v>0.19035678446628301</v>
      </c>
      <c r="AL381">
        <v>0.17556313241823601</v>
      </c>
      <c r="AM381">
        <v>0.16171893729720799</v>
      </c>
      <c r="AN381">
        <v>0.15426865130197401</v>
      </c>
      <c r="AO381">
        <v>0.151201353054009</v>
      </c>
      <c r="AP381">
        <v>0.14826757424679701</v>
      </c>
      <c r="AQ381">
        <v>0.14541967570655401</v>
      </c>
      <c r="AR381">
        <v>0.14354648845482099</v>
      </c>
      <c r="AS381">
        <v>0.141996202183194</v>
      </c>
    </row>
    <row r="382" spans="1:45" hidden="1" x14ac:dyDescent="0.3">
      <c r="A382" t="s">
        <v>743</v>
      </c>
      <c r="B382" t="s">
        <v>682</v>
      </c>
      <c r="C382" t="s">
        <v>681</v>
      </c>
      <c r="D382" t="s">
        <v>680</v>
      </c>
      <c r="E382" t="s">
        <v>679</v>
      </c>
      <c r="F382">
        <v>999</v>
      </c>
      <c r="G382">
        <v>0</v>
      </c>
      <c r="H382">
        <v>0</v>
      </c>
      <c r="I382">
        <v>0</v>
      </c>
      <c r="J382">
        <v>0.25212424266217098</v>
      </c>
      <c r="K382">
        <v>0.233085382796728</v>
      </c>
      <c r="L382">
        <v>0.34862207142285701</v>
      </c>
      <c r="M382">
        <v>0.46436833570282299</v>
      </c>
      <c r="N382">
        <v>0.433121317705151</v>
      </c>
      <c r="O382">
        <v>0.42169680718505198</v>
      </c>
      <c r="P382">
        <v>0.40505729090902398</v>
      </c>
      <c r="Q382">
        <v>0.39002915590970899</v>
      </c>
      <c r="R382">
        <v>0.37929796242435398</v>
      </c>
      <c r="S382">
        <v>0.37002377754333798</v>
      </c>
      <c r="T382">
        <v>0.36288411516358898</v>
      </c>
      <c r="U382">
        <v>0.35560651047334502</v>
      </c>
      <c r="V382">
        <v>0.349193132765789</v>
      </c>
      <c r="W382">
        <v>0.34327529197893197</v>
      </c>
      <c r="X382">
        <v>0.338081331274597</v>
      </c>
      <c r="Y382">
        <v>0.33950938643680501</v>
      </c>
      <c r="Z382">
        <v>0.33411052120280399</v>
      </c>
      <c r="AA382">
        <v>0.32581137161497398</v>
      </c>
      <c r="AB382">
        <v>0.31647182202162</v>
      </c>
      <c r="AC382">
        <v>0.305330130545721</v>
      </c>
      <c r="AD382">
        <v>0.29248493985998197</v>
      </c>
      <c r="AE382">
        <v>0.27895688064665097</v>
      </c>
      <c r="AF382">
        <v>0.26424442538230702</v>
      </c>
      <c r="AG382">
        <v>0.24545005905140599</v>
      </c>
      <c r="AH382">
        <v>0.22784848183439699</v>
      </c>
      <c r="AI382">
        <v>0.21034865581137499</v>
      </c>
      <c r="AJ382">
        <v>0.194211881577603</v>
      </c>
      <c r="AK382">
        <v>0.17933631883034801</v>
      </c>
      <c r="AL382">
        <v>0.16531954285212799</v>
      </c>
      <c r="AM382">
        <v>0.15260677533244199</v>
      </c>
      <c r="AN382">
        <v>0.14608331817609099</v>
      </c>
      <c r="AO382">
        <v>0.14413559934321599</v>
      </c>
      <c r="AP382">
        <v>0.142479300378374</v>
      </c>
      <c r="AQ382">
        <v>0.14096048004363201</v>
      </c>
      <c r="AR382">
        <v>0.14097146102274299</v>
      </c>
      <c r="AS382">
        <v>0.14158953899266699</v>
      </c>
    </row>
    <row r="383" spans="1:45" x14ac:dyDescent="0.3">
      <c r="A383" t="s">
        <v>742</v>
      </c>
      <c r="B383" t="s">
        <v>686</v>
      </c>
      <c r="C383" t="s">
        <v>681</v>
      </c>
      <c r="D383" t="s">
        <v>719</v>
      </c>
      <c r="E383" t="s">
        <v>741</v>
      </c>
      <c r="F383">
        <v>92.447416796300104</v>
      </c>
      <c r="G383">
        <v>1.08163718331759</v>
      </c>
      <c r="H383">
        <v>1.57453026466799</v>
      </c>
      <c r="I383">
        <v>36.102767721007403</v>
      </c>
      <c r="J383">
        <v>0.90583658749999896</v>
      </c>
      <c r="K383">
        <v>0.90339554109999998</v>
      </c>
      <c r="L383">
        <v>0.84994879655198696</v>
      </c>
      <c r="M383">
        <v>0.92261710082273996</v>
      </c>
      <c r="N383">
        <v>0.87167251296816795</v>
      </c>
      <c r="O383">
        <v>0.88462619887535598</v>
      </c>
      <c r="P383">
        <v>0.87899696348096001</v>
      </c>
      <c r="Q383">
        <v>0.87239788679026198</v>
      </c>
      <c r="R383">
        <v>0.86535219676583697</v>
      </c>
      <c r="S383">
        <v>0.85941361300782004</v>
      </c>
      <c r="T383">
        <v>0.85103279944829902</v>
      </c>
      <c r="U383">
        <v>0.83966622631480103</v>
      </c>
      <c r="V383">
        <v>0.83117726579232898</v>
      </c>
      <c r="W383">
        <v>0.82451809071126303</v>
      </c>
      <c r="X383">
        <v>0.82050423327483102</v>
      </c>
      <c r="Y383">
        <v>0.81578536997610895</v>
      </c>
      <c r="Z383">
        <v>0.81107808739661502</v>
      </c>
      <c r="AA383">
        <v>0.80455124064600503</v>
      </c>
      <c r="AB383">
        <v>0.80013359073662405</v>
      </c>
      <c r="AC383">
        <v>0.79592732002321298</v>
      </c>
      <c r="AD383">
        <v>0.79304728035598104</v>
      </c>
      <c r="AE383">
        <v>0.79061683448439302</v>
      </c>
      <c r="AF383">
        <v>0.78776465330822398</v>
      </c>
      <c r="AG383">
        <v>0.78551306990903103</v>
      </c>
      <c r="AH383">
        <v>0.78421115338984804</v>
      </c>
      <c r="AI383">
        <v>0.78297225517094904</v>
      </c>
      <c r="AJ383">
        <v>0.78139125575776702</v>
      </c>
      <c r="AK383">
        <v>0.78050090512249604</v>
      </c>
      <c r="AL383">
        <v>0.77990685635770396</v>
      </c>
      <c r="AM383">
        <v>0.77958329043962105</v>
      </c>
      <c r="AN383">
        <v>0.77942985596956704</v>
      </c>
      <c r="AO383">
        <v>0.77980930135985604</v>
      </c>
      <c r="AP383">
        <v>0.78058491065204605</v>
      </c>
      <c r="AQ383">
        <v>0.78111163528894401</v>
      </c>
      <c r="AR383">
        <v>0.78231563090052703</v>
      </c>
      <c r="AS383">
        <v>0.78401175978081605</v>
      </c>
    </row>
    <row r="384" spans="1:45" x14ac:dyDescent="0.3">
      <c r="A384" t="s">
        <v>742</v>
      </c>
      <c r="B384" t="s">
        <v>685</v>
      </c>
      <c r="C384" t="s">
        <v>681</v>
      </c>
      <c r="D384" t="s">
        <v>719</v>
      </c>
      <c r="E384" t="s">
        <v>741</v>
      </c>
      <c r="F384">
        <v>92.447416796300104</v>
      </c>
      <c r="G384">
        <v>1.08163718331759</v>
      </c>
      <c r="H384">
        <v>1.57453026466799</v>
      </c>
      <c r="I384">
        <v>36.102767721007403</v>
      </c>
      <c r="J384">
        <v>0.90583658749999896</v>
      </c>
      <c r="K384">
        <v>0.90339554109999998</v>
      </c>
      <c r="L384">
        <v>0.84994879655198696</v>
      </c>
      <c r="M384">
        <v>0.92261710082273996</v>
      </c>
      <c r="N384">
        <v>0.87167251296816795</v>
      </c>
      <c r="O384">
        <v>0.88462619887535598</v>
      </c>
      <c r="P384">
        <v>0.87899696348096001</v>
      </c>
      <c r="Q384">
        <v>0.87239788679026198</v>
      </c>
      <c r="R384">
        <v>0.86535219676583697</v>
      </c>
      <c r="S384">
        <v>0.85941361300782004</v>
      </c>
      <c r="T384">
        <v>0.85103279944829902</v>
      </c>
      <c r="U384">
        <v>0.83966622631480103</v>
      </c>
      <c r="V384">
        <v>0.83117726579232898</v>
      </c>
      <c r="W384">
        <v>0.82451809071126303</v>
      </c>
      <c r="X384">
        <v>0.82050423327483102</v>
      </c>
      <c r="Y384">
        <v>0.800366543007341</v>
      </c>
      <c r="Z384">
        <v>0.78166820287669403</v>
      </c>
      <c r="AA384">
        <v>0.76200261709748196</v>
      </c>
      <c r="AB384">
        <v>0.74483524455397798</v>
      </c>
      <c r="AC384">
        <v>0.72855764016212199</v>
      </c>
      <c r="AD384">
        <v>0.71308124106005399</v>
      </c>
      <c r="AE384">
        <v>0.69781602586008395</v>
      </c>
      <c r="AF384">
        <v>0.68265972709150802</v>
      </c>
      <c r="AG384">
        <v>0.668136814165596</v>
      </c>
      <c r="AH384">
        <v>0.65497785678545195</v>
      </c>
      <c r="AI384">
        <v>0.64254026951002197</v>
      </c>
      <c r="AJ384">
        <v>0.63016962944501298</v>
      </c>
      <c r="AK384">
        <v>0.618876427662583</v>
      </c>
      <c r="AL384">
        <v>0.60832150054462297</v>
      </c>
      <c r="AM384">
        <v>0.59866731988672695</v>
      </c>
      <c r="AN384">
        <v>0.58959468495898304</v>
      </c>
      <c r="AO384">
        <v>0.58156646869068795</v>
      </c>
      <c r="AP384">
        <v>0.57480596179052101</v>
      </c>
      <c r="AQ384">
        <v>0.56969000277522097</v>
      </c>
      <c r="AR384">
        <v>0.56595122837511302</v>
      </c>
      <c r="AS384">
        <v>0.56335917525817703</v>
      </c>
    </row>
    <row r="385" spans="1:45" x14ac:dyDescent="0.3">
      <c r="A385" t="s">
        <v>742</v>
      </c>
      <c r="B385" t="s">
        <v>684</v>
      </c>
      <c r="C385" t="s">
        <v>681</v>
      </c>
      <c r="D385" t="s">
        <v>719</v>
      </c>
      <c r="E385" t="s">
        <v>741</v>
      </c>
      <c r="F385">
        <v>92.447416796300104</v>
      </c>
      <c r="G385">
        <v>1.08163718331759</v>
      </c>
      <c r="H385">
        <v>6.26431709240783</v>
      </c>
      <c r="I385">
        <v>154.09429667199501</v>
      </c>
      <c r="J385">
        <v>0.16135570083536699</v>
      </c>
      <c r="K385">
        <v>0.16422961910512901</v>
      </c>
      <c r="L385">
        <v>0.14496451502310101</v>
      </c>
      <c r="M385">
        <v>0.142133951423036</v>
      </c>
      <c r="N385">
        <v>0.13698012054681599</v>
      </c>
      <c r="O385">
        <v>0.12656818057163399</v>
      </c>
      <c r="P385">
        <v>0.124280587549311</v>
      </c>
      <c r="Q385">
        <v>0.122111485387894</v>
      </c>
      <c r="R385">
        <v>0.120043276542267</v>
      </c>
      <c r="S385">
        <v>0.11842234764446399</v>
      </c>
      <c r="T385">
        <v>0.116456038167631</v>
      </c>
      <c r="U385">
        <v>0.112765724190976</v>
      </c>
      <c r="V385">
        <v>0.10962881454993501</v>
      </c>
      <c r="W385">
        <v>0.106924560983754</v>
      </c>
      <c r="X385">
        <v>0.104748990128397</v>
      </c>
      <c r="Y385">
        <v>0.148448097440879</v>
      </c>
      <c r="Z385">
        <v>0.15199585686436401</v>
      </c>
      <c r="AA385">
        <v>0.154468370079173</v>
      </c>
      <c r="AB385">
        <v>0.15617850174589401</v>
      </c>
      <c r="AC385">
        <v>0.15714725687493999</v>
      </c>
      <c r="AD385">
        <v>0.16177271753065001</v>
      </c>
      <c r="AE385">
        <v>0.16604212595189999</v>
      </c>
      <c r="AF385">
        <v>0.169670946025861</v>
      </c>
      <c r="AG385">
        <v>0.171286860881321</v>
      </c>
      <c r="AH385">
        <v>0.174820766804415</v>
      </c>
      <c r="AI385">
        <v>0.17765672650445199</v>
      </c>
      <c r="AJ385">
        <v>0.18044953666088001</v>
      </c>
      <c r="AK385">
        <v>0.18347375632145699</v>
      </c>
      <c r="AL385">
        <v>0.18560074838857901</v>
      </c>
      <c r="AM385">
        <v>0.18688572288885399</v>
      </c>
      <c r="AN385">
        <v>0.18770036847903601</v>
      </c>
      <c r="AO385">
        <v>0.18840616530429899</v>
      </c>
      <c r="AP385">
        <v>0.188884094625969</v>
      </c>
      <c r="AQ385">
        <v>0.187321610091047</v>
      </c>
      <c r="AR385">
        <v>0.185823342624796</v>
      </c>
      <c r="AS385">
        <v>0.18446526710717601</v>
      </c>
    </row>
    <row r="386" spans="1:45" x14ac:dyDescent="0.3">
      <c r="A386" t="s">
        <v>742</v>
      </c>
      <c r="B386" t="s">
        <v>682</v>
      </c>
      <c r="C386" t="s">
        <v>681</v>
      </c>
      <c r="D386" t="s">
        <v>719</v>
      </c>
      <c r="E386" t="s">
        <v>741</v>
      </c>
      <c r="F386">
        <v>92.447416796300104</v>
      </c>
      <c r="G386">
        <v>1.08163718331759</v>
      </c>
      <c r="H386">
        <v>6.26431709240783</v>
      </c>
      <c r="I386">
        <v>154.09429667199501</v>
      </c>
      <c r="J386">
        <v>0.161334465454222</v>
      </c>
      <c r="K386">
        <v>0.16420730718148499</v>
      </c>
      <c r="L386">
        <v>0.144944715339488</v>
      </c>
      <c r="M386">
        <v>0.14209810527915501</v>
      </c>
      <c r="N386">
        <v>0.13693783008824101</v>
      </c>
      <c r="O386">
        <v>0.12659499867798099</v>
      </c>
      <c r="P386">
        <v>0.124288888513369</v>
      </c>
      <c r="Q386">
        <v>0.122102901871133</v>
      </c>
      <c r="R386">
        <v>0.120017090279676</v>
      </c>
      <c r="S386">
        <v>0.11837871301243499</v>
      </c>
      <c r="T386">
        <v>0.116397537062488</v>
      </c>
      <c r="U386">
        <v>0.11269451808049</v>
      </c>
      <c r="V386">
        <v>0.109547033905129</v>
      </c>
      <c r="W386">
        <v>0.106833471041259</v>
      </c>
      <c r="X386">
        <v>0.10465052245924999</v>
      </c>
      <c r="Y386">
        <v>0.145226596725123</v>
      </c>
      <c r="Z386">
        <v>0.145802069784017</v>
      </c>
      <c r="AA386">
        <v>0.14538169880180801</v>
      </c>
      <c r="AB386">
        <v>0.144220776900537</v>
      </c>
      <c r="AC386">
        <v>0.142470028510536</v>
      </c>
      <c r="AD386">
        <v>0.14361496342781099</v>
      </c>
      <c r="AE386">
        <v>0.14421112638912501</v>
      </c>
      <c r="AF386">
        <v>0.144220632372519</v>
      </c>
      <c r="AG386">
        <v>0.142498875907589</v>
      </c>
      <c r="AH386">
        <v>0.14259543778078601</v>
      </c>
      <c r="AI386">
        <v>0.142359277750056</v>
      </c>
      <c r="AJ386">
        <v>0.14216398762976001</v>
      </c>
      <c r="AK386">
        <v>0.14224562491776099</v>
      </c>
      <c r="AL386">
        <v>0.14173918278849701</v>
      </c>
      <c r="AM386">
        <v>0.140735431429131</v>
      </c>
      <c r="AN386">
        <v>0.13948579802139099</v>
      </c>
      <c r="AO386">
        <v>0.138338736467571</v>
      </c>
      <c r="AP386">
        <v>0.137352006831062</v>
      </c>
      <c r="AQ386">
        <v>0.13542827352567699</v>
      </c>
      <c r="AR386">
        <v>0.13373938080719899</v>
      </c>
      <c r="AS386">
        <v>0.132202998167676</v>
      </c>
    </row>
    <row r="387" spans="1:45" x14ac:dyDescent="0.3">
      <c r="A387" t="s">
        <v>740</v>
      </c>
      <c r="B387" t="s">
        <v>686</v>
      </c>
      <c r="C387" t="s">
        <v>681</v>
      </c>
      <c r="D387" t="s">
        <v>719</v>
      </c>
      <c r="E387" t="s">
        <v>721</v>
      </c>
      <c r="F387">
        <v>50.293409021017901</v>
      </c>
      <c r="G387">
        <v>1.9545186516568001</v>
      </c>
      <c r="H387">
        <v>3.9018575161292999</v>
      </c>
      <c r="I387">
        <v>91.751214734661303</v>
      </c>
      <c r="J387">
        <v>0.75024175699999995</v>
      </c>
      <c r="K387">
        <v>0.74729570450000005</v>
      </c>
      <c r="L387">
        <v>0.70939800875676595</v>
      </c>
      <c r="M387">
        <v>0.75366395139457398</v>
      </c>
      <c r="N387">
        <v>0.71826106341720297</v>
      </c>
      <c r="O387">
        <v>0.72487646280752605</v>
      </c>
      <c r="P387">
        <v>0.71809304107749705</v>
      </c>
      <c r="Q387">
        <v>0.71125396380503503</v>
      </c>
      <c r="R387">
        <v>0.70474129685747999</v>
      </c>
      <c r="S387">
        <v>0.69966368021927094</v>
      </c>
      <c r="T387">
        <v>0.69253563167519405</v>
      </c>
      <c r="U387">
        <v>0.68341575481764705</v>
      </c>
      <c r="V387">
        <v>0.67668247284676297</v>
      </c>
      <c r="W387">
        <v>0.67154533081974499</v>
      </c>
      <c r="X387">
        <v>0.66873295345499195</v>
      </c>
      <c r="Y387">
        <v>0.66281121217365002</v>
      </c>
      <c r="Z387">
        <v>0.65716063414520098</v>
      </c>
      <c r="AA387">
        <v>0.65024142555272801</v>
      </c>
      <c r="AB387">
        <v>0.64543849763583705</v>
      </c>
      <c r="AC387">
        <v>0.64097468842397498</v>
      </c>
      <c r="AD387">
        <v>0.63783407000699799</v>
      </c>
      <c r="AE387">
        <v>0.635268371681176</v>
      </c>
      <c r="AF387">
        <v>0.63242166570115299</v>
      </c>
      <c r="AG387">
        <v>0.63014623441234796</v>
      </c>
      <c r="AH387">
        <v>0.628793230732828</v>
      </c>
      <c r="AI387">
        <v>0.62543252544141104</v>
      </c>
      <c r="AJ387">
        <v>0.62209486850431805</v>
      </c>
      <c r="AK387">
        <v>0.61964827941292799</v>
      </c>
      <c r="AL387">
        <v>0.61770427790966598</v>
      </c>
      <c r="AM387">
        <v>0.61624010792703998</v>
      </c>
      <c r="AN387">
        <v>0.61507252580834204</v>
      </c>
      <c r="AO387">
        <v>0.61437733265866801</v>
      </c>
      <c r="AP387">
        <v>0.61419676968756098</v>
      </c>
      <c r="AQ387">
        <v>0.61388672868334304</v>
      </c>
      <c r="AR387">
        <v>0.61425933864045001</v>
      </c>
      <c r="AS387">
        <v>0.61511371500160505</v>
      </c>
    </row>
    <row r="388" spans="1:45" x14ac:dyDescent="0.3">
      <c r="A388" t="s">
        <v>740</v>
      </c>
      <c r="B388" t="s">
        <v>685</v>
      </c>
      <c r="C388" t="s">
        <v>681</v>
      </c>
      <c r="D388" t="s">
        <v>719</v>
      </c>
      <c r="E388" t="s">
        <v>721</v>
      </c>
      <c r="F388">
        <v>50.293409021017901</v>
      </c>
      <c r="G388">
        <v>1.9545186516568001</v>
      </c>
      <c r="H388">
        <v>3.9018575161292999</v>
      </c>
      <c r="I388">
        <v>91.751214734661303</v>
      </c>
      <c r="J388">
        <v>0.75024175699999995</v>
      </c>
      <c r="K388">
        <v>0.74729570450000005</v>
      </c>
      <c r="L388">
        <v>0.70939800875676595</v>
      </c>
      <c r="M388">
        <v>0.75366395139457398</v>
      </c>
      <c r="N388">
        <v>0.71826106341720297</v>
      </c>
      <c r="O388">
        <v>0.72487646280752605</v>
      </c>
      <c r="P388">
        <v>0.71809304107749705</v>
      </c>
      <c r="Q388">
        <v>0.71125396380503503</v>
      </c>
      <c r="R388">
        <v>0.70474129685747999</v>
      </c>
      <c r="S388">
        <v>0.69966368021927094</v>
      </c>
      <c r="T388">
        <v>0.69253563167519405</v>
      </c>
      <c r="U388">
        <v>0.68341575481764705</v>
      </c>
      <c r="V388">
        <v>0.67668247284676297</v>
      </c>
      <c r="W388">
        <v>0.67154533081974499</v>
      </c>
      <c r="X388">
        <v>0.66873295345499195</v>
      </c>
      <c r="Y388">
        <v>0.64071149404636996</v>
      </c>
      <c r="Z388">
        <v>0.61576830737164201</v>
      </c>
      <c r="AA388">
        <v>0.59087489972065399</v>
      </c>
      <c r="AB388">
        <v>0.56891827085000202</v>
      </c>
      <c r="AC388">
        <v>0.54829579720852695</v>
      </c>
      <c r="AD388">
        <v>0.52865798922220697</v>
      </c>
      <c r="AE388">
        <v>0.50958996560126202</v>
      </c>
      <c r="AF388">
        <v>0.491031704563335</v>
      </c>
      <c r="AG388">
        <v>0.47334473398962101</v>
      </c>
      <c r="AH388">
        <v>0.45700944068222699</v>
      </c>
      <c r="AI388">
        <v>0.44451473497097999</v>
      </c>
      <c r="AJ388">
        <v>0.432639177528652</v>
      </c>
      <c r="AK388">
        <v>0.42175270282275701</v>
      </c>
      <c r="AL388">
        <v>0.41158189684757501</v>
      </c>
      <c r="AM388">
        <v>0.40224009038178998</v>
      </c>
      <c r="AN388">
        <v>0.39344624249260801</v>
      </c>
      <c r="AO388">
        <v>0.38543684970803999</v>
      </c>
      <c r="AP388">
        <v>0.37864595426385</v>
      </c>
      <c r="AQ388">
        <v>0.373609346233504</v>
      </c>
      <c r="AR388">
        <v>0.36969228810469401</v>
      </c>
      <c r="AS388">
        <v>0.36672480017426101</v>
      </c>
    </row>
    <row r="389" spans="1:45" x14ac:dyDescent="0.3">
      <c r="A389" t="s">
        <v>740</v>
      </c>
      <c r="B389" t="s">
        <v>684</v>
      </c>
      <c r="C389" t="s">
        <v>681</v>
      </c>
      <c r="D389" t="s">
        <v>719</v>
      </c>
      <c r="E389" t="s">
        <v>721</v>
      </c>
      <c r="F389">
        <v>50.293409021017901</v>
      </c>
      <c r="G389">
        <v>1.9545186516568001</v>
      </c>
      <c r="H389">
        <v>533.86283037185603</v>
      </c>
      <c r="I389">
        <v>13132.450423184901</v>
      </c>
      <c r="J389">
        <v>7.1887631808568705E-2</v>
      </c>
      <c r="K389">
        <v>7.3353029816179999E-2</v>
      </c>
      <c r="L389">
        <v>6.0226543959007797E-2</v>
      </c>
      <c r="M389">
        <v>5.9083179138884299E-2</v>
      </c>
      <c r="N389">
        <v>5.7113479055685097E-2</v>
      </c>
      <c r="O389">
        <v>4.6273739882434203E-2</v>
      </c>
      <c r="P389">
        <v>4.52832276877881E-2</v>
      </c>
      <c r="Q389">
        <v>4.4368933394641798E-2</v>
      </c>
      <c r="R389">
        <v>4.3521884660764398E-2</v>
      </c>
      <c r="S389">
        <v>4.2858038665739097E-2</v>
      </c>
      <c r="T389">
        <v>4.2046648218818997E-2</v>
      </c>
      <c r="U389">
        <v>4.05561457623346E-2</v>
      </c>
      <c r="V389">
        <v>3.9269832623947197E-2</v>
      </c>
      <c r="W389">
        <v>3.81497969302389E-2</v>
      </c>
      <c r="X389">
        <v>3.7229848870573901E-2</v>
      </c>
      <c r="Y389">
        <v>5.2355037676539498E-3</v>
      </c>
      <c r="Z389">
        <v>5.278291401755E-3</v>
      </c>
      <c r="AA389">
        <v>5.2927118205039498E-3</v>
      </c>
      <c r="AB389">
        <v>5.3573440674241002E-3</v>
      </c>
      <c r="AC389">
        <v>5.4012519000983797E-3</v>
      </c>
      <c r="AD389">
        <v>5.2091727756983898E-3</v>
      </c>
      <c r="AE389">
        <v>5.0420145580670501E-3</v>
      </c>
      <c r="AF389">
        <v>4.8808333812895999E-3</v>
      </c>
      <c r="AG389">
        <v>4.7875698524197496E-3</v>
      </c>
      <c r="AH389">
        <v>4.6547840098879901E-3</v>
      </c>
      <c r="AI389">
        <v>4.5090997454144497E-3</v>
      </c>
      <c r="AJ389">
        <v>4.3688054747877403E-3</v>
      </c>
      <c r="AK389">
        <v>4.2467998267626201E-3</v>
      </c>
      <c r="AL389">
        <v>4.1229185482998401E-3</v>
      </c>
      <c r="AM389">
        <v>3.9539753285109999E-3</v>
      </c>
      <c r="AN389">
        <v>3.7201253213028701E-3</v>
      </c>
      <c r="AO389">
        <v>3.50648616171637E-3</v>
      </c>
      <c r="AP389">
        <v>3.3274983849849102E-3</v>
      </c>
      <c r="AQ389">
        <v>3.17246851494677E-3</v>
      </c>
      <c r="AR389">
        <v>3.0319605429979198E-3</v>
      </c>
      <c r="AS389">
        <v>2.91000667856857E-3</v>
      </c>
    </row>
    <row r="390" spans="1:45" x14ac:dyDescent="0.3">
      <c r="A390" t="s">
        <v>740</v>
      </c>
      <c r="B390" t="s">
        <v>682</v>
      </c>
      <c r="C390" t="s">
        <v>681</v>
      </c>
      <c r="D390" t="s">
        <v>719</v>
      </c>
      <c r="E390" t="s">
        <v>721</v>
      </c>
      <c r="F390">
        <v>50.293409021017901</v>
      </c>
      <c r="G390">
        <v>1.9545186516568001</v>
      </c>
      <c r="H390">
        <v>533.86283037185603</v>
      </c>
      <c r="I390">
        <v>13132.450423184901</v>
      </c>
      <c r="J390">
        <v>7.1884179507206894E-2</v>
      </c>
      <c r="K390">
        <v>7.3355083164481402E-2</v>
      </c>
      <c r="L390">
        <v>6.0227778603032502E-2</v>
      </c>
      <c r="M390">
        <v>5.9080454462894803E-2</v>
      </c>
      <c r="N390">
        <v>5.7108265142583797E-2</v>
      </c>
      <c r="O390">
        <v>4.6295714992903698E-2</v>
      </c>
      <c r="P390">
        <v>4.5291899546199998E-2</v>
      </c>
      <c r="Q390">
        <v>4.43658478858069E-2</v>
      </c>
      <c r="R390">
        <v>4.3506739010110998E-2</v>
      </c>
      <c r="S390">
        <v>4.2830969887710298E-2</v>
      </c>
      <c r="T390">
        <v>4.2009205424901698E-2</v>
      </c>
      <c r="U390">
        <v>4.0509218988861097E-2</v>
      </c>
      <c r="V390">
        <v>3.9214624536481703E-2</v>
      </c>
      <c r="W390">
        <v>3.8086663865087002E-2</v>
      </c>
      <c r="X390">
        <v>3.7159849871758403E-2</v>
      </c>
      <c r="Y390">
        <v>4.9969794284888099E-3</v>
      </c>
      <c r="Z390">
        <v>4.8917318493171503E-3</v>
      </c>
      <c r="AA390">
        <v>4.7678839423905802E-3</v>
      </c>
      <c r="AB390">
        <v>4.6915117100753802E-3</v>
      </c>
      <c r="AC390">
        <v>4.5968462292218402E-3</v>
      </c>
      <c r="AD390">
        <v>4.2941671084534196E-3</v>
      </c>
      <c r="AE390">
        <v>4.0194202632220398E-3</v>
      </c>
      <c r="AF390">
        <v>3.7632665434970099E-3</v>
      </c>
      <c r="AG390">
        <v>3.5765211052183202E-3</v>
      </c>
      <c r="AH390">
        <v>3.3746114218126799E-3</v>
      </c>
      <c r="AI390">
        <v>3.1868210618491198E-3</v>
      </c>
      <c r="AJ390">
        <v>3.0204652184170101E-3</v>
      </c>
      <c r="AK390">
        <v>2.8739383507252101E-3</v>
      </c>
      <c r="AL390">
        <v>2.7349889105415998E-3</v>
      </c>
      <c r="AM390">
        <v>2.5767582065388101E-3</v>
      </c>
      <c r="AN390">
        <v>2.3829071270769402E-3</v>
      </c>
      <c r="AO390">
        <v>2.21133905611856E-3</v>
      </c>
      <c r="AP390">
        <v>2.0713507693049201E-3</v>
      </c>
      <c r="AQ390">
        <v>1.9627354655701399E-3</v>
      </c>
      <c r="AR390">
        <v>1.8671118241712901E-3</v>
      </c>
      <c r="AS390">
        <v>1.7829898748040101E-3</v>
      </c>
    </row>
    <row r="391" spans="1:45" x14ac:dyDescent="0.3">
      <c r="A391" t="s">
        <v>739</v>
      </c>
      <c r="B391" t="s">
        <v>686</v>
      </c>
      <c r="C391" t="s">
        <v>681</v>
      </c>
      <c r="D391" t="s">
        <v>719</v>
      </c>
      <c r="E391" t="s">
        <v>721</v>
      </c>
      <c r="F391">
        <v>50.103946798348197</v>
      </c>
      <c r="G391">
        <v>1.9614785844745799</v>
      </c>
      <c r="H391">
        <v>3.9582251897852498</v>
      </c>
      <c r="I391">
        <v>92.930954374314197</v>
      </c>
      <c r="J391">
        <v>0.75024175699999995</v>
      </c>
      <c r="K391">
        <v>0.74729570450000005</v>
      </c>
      <c r="L391">
        <v>0.70939800875676595</v>
      </c>
      <c r="M391">
        <v>0.75366395139457398</v>
      </c>
      <c r="N391">
        <v>0.71826106341720297</v>
      </c>
      <c r="O391">
        <v>0.72487646280752605</v>
      </c>
      <c r="P391">
        <v>0.71809304107749705</v>
      </c>
      <c r="Q391">
        <v>0.71125396380503503</v>
      </c>
      <c r="R391">
        <v>0.70474129685747999</v>
      </c>
      <c r="S391">
        <v>0.69966368021927094</v>
      </c>
      <c r="T391">
        <v>0.69253563167519405</v>
      </c>
      <c r="U391">
        <v>0.68341575481764705</v>
      </c>
      <c r="V391">
        <v>0.67668247284676297</v>
      </c>
      <c r="W391">
        <v>0.67154533081974499</v>
      </c>
      <c r="X391">
        <v>0.66873295345499195</v>
      </c>
      <c r="Y391">
        <v>0.66281121217365002</v>
      </c>
      <c r="Z391">
        <v>0.65716063414520098</v>
      </c>
      <c r="AA391">
        <v>0.65024142555272801</v>
      </c>
      <c r="AB391">
        <v>0.64543849763583705</v>
      </c>
      <c r="AC391">
        <v>0.64097468842397498</v>
      </c>
      <c r="AD391">
        <v>0.63783407000699799</v>
      </c>
      <c r="AE391">
        <v>0.635268371681176</v>
      </c>
      <c r="AF391">
        <v>0.63242166570115299</v>
      </c>
      <c r="AG391">
        <v>0.63014623441234796</v>
      </c>
      <c r="AH391">
        <v>0.628793230732828</v>
      </c>
      <c r="AI391">
        <v>0.62543252544141104</v>
      </c>
      <c r="AJ391">
        <v>0.62209486850431805</v>
      </c>
      <c r="AK391">
        <v>0.61964827941292799</v>
      </c>
      <c r="AL391">
        <v>0.61770427790966598</v>
      </c>
      <c r="AM391">
        <v>0.61624010792703998</v>
      </c>
      <c r="AN391">
        <v>0.61507252580834204</v>
      </c>
      <c r="AO391">
        <v>0.61437733265866801</v>
      </c>
      <c r="AP391">
        <v>0.61419676968756098</v>
      </c>
      <c r="AQ391">
        <v>0.61388672868334304</v>
      </c>
      <c r="AR391">
        <v>0.61425933864045001</v>
      </c>
      <c r="AS391">
        <v>0.61511371500160505</v>
      </c>
    </row>
    <row r="392" spans="1:45" x14ac:dyDescent="0.3">
      <c r="A392" t="s">
        <v>739</v>
      </c>
      <c r="B392" t="s">
        <v>685</v>
      </c>
      <c r="C392" t="s">
        <v>681</v>
      </c>
      <c r="D392" t="s">
        <v>719</v>
      </c>
      <c r="E392" t="s">
        <v>721</v>
      </c>
      <c r="F392">
        <v>50.103946798348197</v>
      </c>
      <c r="G392">
        <v>1.9614785844745799</v>
      </c>
      <c r="H392">
        <v>3.9582251897852498</v>
      </c>
      <c r="I392">
        <v>92.930954374314197</v>
      </c>
      <c r="J392">
        <v>0.75024175699999995</v>
      </c>
      <c r="K392">
        <v>0.74729570450000005</v>
      </c>
      <c r="L392">
        <v>0.70939800875676595</v>
      </c>
      <c r="M392">
        <v>0.75366395139457398</v>
      </c>
      <c r="N392">
        <v>0.71826106341720297</v>
      </c>
      <c r="O392">
        <v>0.72487646280752605</v>
      </c>
      <c r="P392">
        <v>0.71809304107749705</v>
      </c>
      <c r="Q392">
        <v>0.71125396380503503</v>
      </c>
      <c r="R392">
        <v>0.70474129685747999</v>
      </c>
      <c r="S392">
        <v>0.69966368021927094</v>
      </c>
      <c r="T392">
        <v>0.69253563167519405</v>
      </c>
      <c r="U392">
        <v>0.68341575481764705</v>
      </c>
      <c r="V392">
        <v>0.67668247284676297</v>
      </c>
      <c r="W392">
        <v>0.67154533081974499</v>
      </c>
      <c r="X392">
        <v>0.66873295345499195</v>
      </c>
      <c r="Y392">
        <v>0.64694660816626004</v>
      </c>
      <c r="Z392">
        <v>0.62740489114890596</v>
      </c>
      <c r="AA392">
        <v>0.60753597310571805</v>
      </c>
      <c r="AB392">
        <v>0.590366891719318</v>
      </c>
      <c r="AC392">
        <v>0.57424966206446404</v>
      </c>
      <c r="AD392">
        <v>0.55917797382370205</v>
      </c>
      <c r="AE392">
        <v>0.54465430301367801</v>
      </c>
      <c r="AF392">
        <v>0.53041453883882606</v>
      </c>
      <c r="AG392">
        <v>0.51695089357859803</v>
      </c>
      <c r="AH392">
        <v>0.50471852601962497</v>
      </c>
      <c r="AI392">
        <v>0.49440618727900698</v>
      </c>
      <c r="AJ392">
        <v>0.48454263674196102</v>
      </c>
      <c r="AK392">
        <v>0.47566298586265798</v>
      </c>
      <c r="AL392">
        <v>0.467459566784515</v>
      </c>
      <c r="AM392">
        <v>0.46001118456052698</v>
      </c>
      <c r="AN392">
        <v>0.45305675114767702</v>
      </c>
      <c r="AO392">
        <v>0.44681283963759499</v>
      </c>
      <c r="AP392">
        <v>0.44162220173578698</v>
      </c>
      <c r="AQ392">
        <v>0.43771617602301199</v>
      </c>
      <c r="AR392">
        <v>0.43482817361052101</v>
      </c>
      <c r="AS392">
        <v>0.43277868511101197</v>
      </c>
    </row>
    <row r="393" spans="1:45" x14ac:dyDescent="0.3">
      <c r="A393" t="s">
        <v>739</v>
      </c>
      <c r="B393" t="s">
        <v>684</v>
      </c>
      <c r="C393" t="s">
        <v>681</v>
      </c>
      <c r="D393" t="s">
        <v>719</v>
      </c>
      <c r="E393" t="s">
        <v>721</v>
      </c>
      <c r="F393">
        <v>50.103946798348197</v>
      </c>
      <c r="G393">
        <v>1.9614785844745799</v>
      </c>
      <c r="H393">
        <v>73.077570683792104</v>
      </c>
      <c r="I393">
        <v>1797.6295022895899</v>
      </c>
      <c r="J393">
        <v>7.1887631808568705E-2</v>
      </c>
      <c r="K393">
        <v>7.3353029816179999E-2</v>
      </c>
      <c r="L393">
        <v>6.0226543959007797E-2</v>
      </c>
      <c r="M393">
        <v>5.9083179138884299E-2</v>
      </c>
      <c r="N393">
        <v>5.7113479055685097E-2</v>
      </c>
      <c r="O393">
        <v>4.6273739882434203E-2</v>
      </c>
      <c r="P393">
        <v>4.52832276877881E-2</v>
      </c>
      <c r="Q393">
        <v>4.4368933394641798E-2</v>
      </c>
      <c r="R393">
        <v>4.3521884660764398E-2</v>
      </c>
      <c r="S393">
        <v>4.2858038665739097E-2</v>
      </c>
      <c r="T393">
        <v>4.2046648218818997E-2</v>
      </c>
      <c r="U393">
        <v>4.05561457623346E-2</v>
      </c>
      <c r="V393">
        <v>3.9269832623947197E-2</v>
      </c>
      <c r="W393">
        <v>3.81497969302389E-2</v>
      </c>
      <c r="X393">
        <v>3.7229848870573901E-2</v>
      </c>
      <c r="Y393">
        <v>3.1163277149325999E-2</v>
      </c>
      <c r="Z393">
        <v>3.1790998942252298E-2</v>
      </c>
      <c r="AA393">
        <v>3.2218760238709801E-2</v>
      </c>
      <c r="AB393">
        <v>3.2389507753168401E-2</v>
      </c>
      <c r="AC393">
        <v>3.2370958099188399E-2</v>
      </c>
      <c r="AD393">
        <v>3.3354958315809001E-2</v>
      </c>
      <c r="AE393">
        <v>3.4270035783712703E-2</v>
      </c>
      <c r="AF393">
        <v>3.5079024246007402E-2</v>
      </c>
      <c r="AG393">
        <v>3.5298760009071298E-2</v>
      </c>
      <c r="AH393">
        <v>3.6128202147949297E-2</v>
      </c>
      <c r="AI393">
        <v>3.6869592286416702E-2</v>
      </c>
      <c r="AJ393">
        <v>3.7503240713597702E-2</v>
      </c>
      <c r="AK393">
        <v>3.81861645701915E-2</v>
      </c>
      <c r="AL393">
        <v>3.8869701353208497E-2</v>
      </c>
      <c r="AM393">
        <v>3.9189247210234202E-2</v>
      </c>
      <c r="AN393">
        <v>3.9201247092519202E-2</v>
      </c>
      <c r="AO393">
        <v>3.9177981296817301E-2</v>
      </c>
      <c r="AP393">
        <v>3.9166560359046101E-2</v>
      </c>
      <c r="AQ393">
        <v>3.9498291865618998E-2</v>
      </c>
      <c r="AR393">
        <v>3.9748912608858801E-2</v>
      </c>
      <c r="AS393">
        <v>3.9942953059652897E-2</v>
      </c>
    </row>
    <row r="394" spans="1:45" x14ac:dyDescent="0.3">
      <c r="A394" t="s">
        <v>739</v>
      </c>
      <c r="B394" t="s">
        <v>682</v>
      </c>
      <c r="C394" t="s">
        <v>681</v>
      </c>
      <c r="D394" t="s">
        <v>719</v>
      </c>
      <c r="E394" t="s">
        <v>721</v>
      </c>
      <c r="F394">
        <v>50.103946798348197</v>
      </c>
      <c r="G394">
        <v>1.9614785844745799</v>
      </c>
      <c r="H394">
        <v>73.077570683792104</v>
      </c>
      <c r="I394">
        <v>1797.6295022895899</v>
      </c>
      <c r="J394">
        <v>7.1884179507206894E-2</v>
      </c>
      <c r="K394">
        <v>7.3355083164481402E-2</v>
      </c>
      <c r="L394">
        <v>6.0227778603032502E-2</v>
      </c>
      <c r="M394">
        <v>5.9080454462894803E-2</v>
      </c>
      <c r="N394">
        <v>5.7108265142583797E-2</v>
      </c>
      <c r="O394">
        <v>4.6295714992903698E-2</v>
      </c>
      <c r="P394">
        <v>4.5291899546199998E-2</v>
      </c>
      <c r="Q394">
        <v>4.43658478858069E-2</v>
      </c>
      <c r="R394">
        <v>4.3506739010110998E-2</v>
      </c>
      <c r="S394">
        <v>4.2830969887710298E-2</v>
      </c>
      <c r="T394">
        <v>4.2009205424901698E-2</v>
      </c>
      <c r="U394">
        <v>4.0509218988861097E-2</v>
      </c>
      <c r="V394">
        <v>3.9214624536481703E-2</v>
      </c>
      <c r="W394">
        <v>3.8086663865087002E-2</v>
      </c>
      <c r="X394">
        <v>3.7159849871758403E-2</v>
      </c>
      <c r="Y394">
        <v>3.0482613183648199E-2</v>
      </c>
      <c r="Z394">
        <v>3.0528394856110599E-2</v>
      </c>
      <c r="AA394">
        <v>3.0388282641061401E-2</v>
      </c>
      <c r="AB394">
        <v>3.0009449241110601E-2</v>
      </c>
      <c r="AC394">
        <v>2.9474907253263301E-2</v>
      </c>
      <c r="AD394">
        <v>2.9783698182263299E-2</v>
      </c>
      <c r="AE394">
        <v>2.9961831087207999E-2</v>
      </c>
      <c r="AF394">
        <v>3.0033343013500701E-2</v>
      </c>
      <c r="AG394">
        <v>2.9590691918838102E-2</v>
      </c>
      <c r="AH394">
        <v>2.9703047967634798E-2</v>
      </c>
      <c r="AI394">
        <v>2.97725890966982E-2</v>
      </c>
      <c r="AJ394">
        <v>2.9772646530895602E-2</v>
      </c>
      <c r="AK394">
        <v>2.98303023982694E-2</v>
      </c>
      <c r="AL394">
        <v>2.9910252875222899E-2</v>
      </c>
      <c r="AM394">
        <v>2.9744551921761501E-2</v>
      </c>
      <c r="AN394">
        <v>2.9367642015476599E-2</v>
      </c>
      <c r="AO394">
        <v>2.8992189528888102E-2</v>
      </c>
      <c r="AP394">
        <v>2.8683611721331902E-2</v>
      </c>
      <c r="AQ394">
        <v>2.8752724758688598E-2</v>
      </c>
      <c r="AR394">
        <v>2.8799000094014399E-2</v>
      </c>
      <c r="AS394">
        <v>2.8807970605960201E-2</v>
      </c>
    </row>
    <row r="395" spans="1:45" x14ac:dyDescent="0.3">
      <c r="A395" t="s">
        <v>738</v>
      </c>
      <c r="B395" t="s">
        <v>686</v>
      </c>
      <c r="C395" t="s">
        <v>681</v>
      </c>
      <c r="D395" t="s">
        <v>719</v>
      </c>
      <c r="E395" t="s">
        <v>21</v>
      </c>
      <c r="F395">
        <v>-27.318667986453299</v>
      </c>
      <c r="G395">
        <v>999</v>
      </c>
      <c r="H395">
        <v>1010.07164194659</v>
      </c>
      <c r="I395">
        <v>24846.674102591001</v>
      </c>
      <c r="J395">
        <v>0.31527574079999998</v>
      </c>
      <c r="K395">
        <v>0.31965736500000003</v>
      </c>
      <c r="L395">
        <v>0.32138821931356498</v>
      </c>
      <c r="M395">
        <v>0.32241427327970101</v>
      </c>
      <c r="N395">
        <v>0.32409609933667799</v>
      </c>
      <c r="O395">
        <v>0.324008296936801</v>
      </c>
      <c r="P395">
        <v>0.32056900830687601</v>
      </c>
      <c r="Q395">
        <v>0.31755220827648201</v>
      </c>
      <c r="R395">
        <v>0.315176562425248</v>
      </c>
      <c r="S395">
        <v>0.31422131168942702</v>
      </c>
      <c r="T395">
        <v>0.31248522179280502</v>
      </c>
      <c r="U395">
        <v>0.31140056340873401</v>
      </c>
      <c r="V395">
        <v>0.31118868331069299</v>
      </c>
      <c r="W395">
        <v>0.31166048200350399</v>
      </c>
      <c r="X395">
        <v>0.31326553576524602</v>
      </c>
      <c r="Y395">
        <v>0.31414739344350401</v>
      </c>
      <c r="Z395">
        <v>0.31493078304385802</v>
      </c>
      <c r="AA395">
        <v>0.31483376223634701</v>
      </c>
      <c r="AB395">
        <v>0.31592045823491999</v>
      </c>
      <c r="AC395">
        <v>0.31679564778761099</v>
      </c>
      <c r="AD395">
        <v>0.31826207703912801</v>
      </c>
      <c r="AE395">
        <v>0.32000624177417902</v>
      </c>
      <c r="AF395">
        <v>0.32132145541375201</v>
      </c>
      <c r="AG395">
        <v>0.32282029969276899</v>
      </c>
      <c r="AH395">
        <v>0.32466357646920102</v>
      </c>
      <c r="AI395">
        <v>0.32636712572155602</v>
      </c>
      <c r="AJ395">
        <v>0.32794028942493603</v>
      </c>
      <c r="AK395">
        <v>0.3295927700556</v>
      </c>
      <c r="AL395">
        <v>0.33138198437482702</v>
      </c>
      <c r="AM395">
        <v>0.33329826977184202</v>
      </c>
      <c r="AN395">
        <v>0.33528239794617998</v>
      </c>
      <c r="AO395">
        <v>0.33741155207801399</v>
      </c>
      <c r="AP395">
        <v>0.339850602290105</v>
      </c>
      <c r="AQ395">
        <v>0.34212733082165198</v>
      </c>
      <c r="AR395">
        <v>0.34455583749290403</v>
      </c>
      <c r="AS395">
        <v>0.34683825747536001</v>
      </c>
    </row>
    <row r="396" spans="1:45" x14ac:dyDescent="0.3">
      <c r="A396" t="s">
        <v>738</v>
      </c>
      <c r="B396" t="s">
        <v>685</v>
      </c>
      <c r="C396" t="s">
        <v>681</v>
      </c>
      <c r="D396" t="s">
        <v>719</v>
      </c>
      <c r="E396" t="s">
        <v>21</v>
      </c>
      <c r="F396">
        <v>-27.318667986453299</v>
      </c>
      <c r="G396">
        <v>999</v>
      </c>
      <c r="H396">
        <v>1010.07164194659</v>
      </c>
      <c r="I396">
        <v>24846.674102591001</v>
      </c>
      <c r="J396">
        <v>0.31527574079999998</v>
      </c>
      <c r="K396">
        <v>0.31965736500000003</v>
      </c>
      <c r="L396">
        <v>0.32138821931356498</v>
      </c>
      <c r="M396">
        <v>0.32241427327970101</v>
      </c>
      <c r="N396">
        <v>0.32409609933667799</v>
      </c>
      <c r="O396">
        <v>0.31313040271631498</v>
      </c>
      <c r="P396">
        <v>0.30067064168274199</v>
      </c>
      <c r="Q396">
        <v>0.28956717020377598</v>
      </c>
      <c r="R396">
        <v>0.27995587141981798</v>
      </c>
      <c r="S396">
        <v>0.27245624376528899</v>
      </c>
      <c r="T396">
        <v>0.26457524080630002</v>
      </c>
      <c r="U396">
        <v>0.257553661607688</v>
      </c>
      <c r="V396">
        <v>0.25180864915578599</v>
      </c>
      <c r="W396">
        <v>0.24723189142636201</v>
      </c>
      <c r="X396">
        <v>0.24404098365038601</v>
      </c>
      <c r="Y396">
        <v>0.24456507671335301</v>
      </c>
      <c r="Z396">
        <v>0.24545819923166801</v>
      </c>
      <c r="AA396">
        <v>0.24570159260614099</v>
      </c>
      <c r="AB396">
        <v>0.246938020071443</v>
      </c>
      <c r="AC396">
        <v>0.24793744114098901</v>
      </c>
      <c r="AD396">
        <v>0.24998165030581401</v>
      </c>
      <c r="AE396">
        <v>0.252224372616277</v>
      </c>
      <c r="AF396">
        <v>0.25404958781521503</v>
      </c>
      <c r="AG396">
        <v>0.25594819464405799</v>
      </c>
      <c r="AH396">
        <v>0.258054031728564</v>
      </c>
      <c r="AI396">
        <v>0.25999344336112701</v>
      </c>
      <c r="AJ396">
        <v>0.26178526045723799</v>
      </c>
      <c r="AK396">
        <v>0.263617368716976</v>
      </c>
      <c r="AL396">
        <v>0.26552005189638</v>
      </c>
      <c r="AM396">
        <v>0.26748687911949698</v>
      </c>
      <c r="AN396">
        <v>0.26947334043986598</v>
      </c>
      <c r="AO396">
        <v>0.27154672480289999</v>
      </c>
      <c r="AP396">
        <v>0.273840443157782</v>
      </c>
      <c r="AQ396">
        <v>0.27597609311166998</v>
      </c>
      <c r="AR396">
        <v>0.27820787238116201</v>
      </c>
      <c r="AS396">
        <v>0.28030022413273498</v>
      </c>
    </row>
    <row r="397" spans="1:45" x14ac:dyDescent="0.3">
      <c r="A397" t="s">
        <v>738</v>
      </c>
      <c r="B397" t="s">
        <v>684</v>
      </c>
      <c r="C397" t="s">
        <v>681</v>
      </c>
      <c r="D397" t="s">
        <v>719</v>
      </c>
      <c r="E397" t="s">
        <v>21</v>
      </c>
      <c r="F397">
        <v>-27.318667986453299</v>
      </c>
      <c r="G397">
        <v>999</v>
      </c>
      <c r="H397">
        <v>999</v>
      </c>
      <c r="I397">
        <v>999</v>
      </c>
      <c r="J397">
        <v>0.113648225186655</v>
      </c>
      <c r="K397">
        <v>0.115236932124652</v>
      </c>
      <c r="L397">
        <v>2.62105326787135E-2</v>
      </c>
      <c r="M397">
        <v>2.6272509098514699E-2</v>
      </c>
      <c r="N397">
        <v>2.63817062940256E-2</v>
      </c>
      <c r="O397">
        <v>-2.44239345192909E-16</v>
      </c>
      <c r="P397">
        <v>9.8254531621932994E-17</v>
      </c>
      <c r="Q397">
        <v>3.4458935260772699E-17</v>
      </c>
      <c r="R397">
        <v>7.8231096267700206E-17</v>
      </c>
      <c r="S397">
        <v>-3.7252902984619097E-18</v>
      </c>
      <c r="T397">
        <v>2.3236498236656199E-16</v>
      </c>
      <c r="U397">
        <v>-1.5366822481155401E-17</v>
      </c>
      <c r="V397">
        <v>-1.08964741230011E-16</v>
      </c>
      <c r="W397">
        <v>4.6566128730773904E-18</v>
      </c>
      <c r="X397">
        <v>-1.4947727322578399E-16</v>
      </c>
      <c r="Y397">
        <v>-5.5879354476928703E-18</v>
      </c>
      <c r="Z397">
        <v>-1.71363353729248E-16</v>
      </c>
      <c r="AA397">
        <v>-3.3900141716003401E-16</v>
      </c>
      <c r="AB397">
        <v>9.31322574615479E-18</v>
      </c>
      <c r="AC397">
        <v>9.6391886472701996E-17</v>
      </c>
      <c r="AD397">
        <v>1.9976869225501999E-16</v>
      </c>
      <c r="AE397">
        <v>2.0861625671386701E-16</v>
      </c>
      <c r="AF397">
        <v>4.5634806156158503E-16</v>
      </c>
      <c r="AG397">
        <v>1.5646219253539999E-16</v>
      </c>
      <c r="AH397">
        <v>-1.4621764421462999E-16</v>
      </c>
      <c r="AI397">
        <v>5.0291419029235797E-17</v>
      </c>
      <c r="AJ397">
        <v>-2.9429793357849099E-16</v>
      </c>
      <c r="AK397">
        <v>-2.9522925615310698E-16</v>
      </c>
      <c r="AL397">
        <v>1.9837170839309701E-16</v>
      </c>
      <c r="AM397">
        <v>5.5879354476928703E-18</v>
      </c>
      <c r="AN397">
        <v>-3.5017728805542E-16</v>
      </c>
      <c r="AO397">
        <v>1.26659870147705E-16</v>
      </c>
      <c r="AP397">
        <v>3.7252902984619097E-18</v>
      </c>
      <c r="AQ397">
        <v>-2.70083546638489E-17</v>
      </c>
      <c r="AR397">
        <v>-6.1467289924621602E-17</v>
      </c>
      <c r="AS397">
        <v>-4.7683715820312503E-16</v>
      </c>
    </row>
    <row r="398" spans="1:45" x14ac:dyDescent="0.3">
      <c r="A398" t="s">
        <v>738</v>
      </c>
      <c r="B398" t="s">
        <v>682</v>
      </c>
      <c r="C398" t="s">
        <v>681</v>
      </c>
      <c r="D398" t="s">
        <v>719</v>
      </c>
      <c r="E398" t="s">
        <v>21</v>
      </c>
      <c r="F398">
        <v>-27.318667986453299</v>
      </c>
      <c r="G398">
        <v>999</v>
      </c>
      <c r="H398">
        <v>999</v>
      </c>
      <c r="I398">
        <v>999</v>
      </c>
      <c r="J398">
        <v>0.113648225186655</v>
      </c>
      <c r="K398">
        <v>0.115236932124652</v>
      </c>
      <c r="L398">
        <v>2.62105326787135E-2</v>
      </c>
      <c r="M398">
        <v>2.6272509098514699E-2</v>
      </c>
      <c r="N398">
        <v>2.63817062940256E-2</v>
      </c>
      <c r="O398">
        <v>-4.6566128730773899E-17</v>
      </c>
      <c r="P398">
        <v>-4.33064997196198E-17</v>
      </c>
      <c r="Q398">
        <v>-4.1443854570388801E-17</v>
      </c>
      <c r="R398">
        <v>9.2200934886932397E-17</v>
      </c>
      <c r="S398">
        <v>-1.3830140233039899E-16</v>
      </c>
      <c r="T398">
        <v>-1.49011611938477E-17</v>
      </c>
      <c r="U398">
        <v>7.3108822107315096E-17</v>
      </c>
      <c r="V398">
        <v>-7.3574483394622796E-17</v>
      </c>
      <c r="W398">
        <v>1.81607902050018E-16</v>
      </c>
      <c r="X398">
        <v>5.0291419029235797E-17</v>
      </c>
      <c r="Y398">
        <v>-2.8405338525772103E-17</v>
      </c>
      <c r="Z398">
        <v>8.0093741416931204E-17</v>
      </c>
      <c r="AA398">
        <v>-6.3329935073852502E-17</v>
      </c>
      <c r="AB398">
        <v>-5.40167093276978E-17</v>
      </c>
      <c r="AC398">
        <v>-1.47614628076553E-16</v>
      </c>
      <c r="AD398">
        <v>3.35276126861572E-17</v>
      </c>
      <c r="AE398">
        <v>-6.1467289924621602E-17</v>
      </c>
      <c r="AF398">
        <v>1.1734664440154999E-16</v>
      </c>
      <c r="AG398">
        <v>2.8870999813079803E-17</v>
      </c>
      <c r="AH398">
        <v>1.49011611938477E-17</v>
      </c>
      <c r="AI398">
        <v>8.3819031715393102E-17</v>
      </c>
      <c r="AJ398">
        <v>7.1711838245391798E-17</v>
      </c>
      <c r="AK398">
        <v>2.7939677238464402E-17</v>
      </c>
      <c r="AL398">
        <v>-1.18277966976166E-16</v>
      </c>
      <c r="AM398">
        <v>-3.7252902984619097E-18</v>
      </c>
      <c r="AN398">
        <v>8.7544322013855E-17</v>
      </c>
      <c r="AO398">
        <v>1.8998980522155801E-16</v>
      </c>
      <c r="AP398">
        <v>-6.2398612499237102E-17</v>
      </c>
      <c r="AQ398">
        <v>-9.5926225185394296E-17</v>
      </c>
      <c r="AR398">
        <v>-4.6566128730773899E-17</v>
      </c>
      <c r="AS398">
        <v>-2.4214386940002399E-17</v>
      </c>
    </row>
    <row r="399" spans="1:45" x14ac:dyDescent="0.3">
      <c r="A399" t="s">
        <v>737</v>
      </c>
      <c r="B399" t="s">
        <v>686</v>
      </c>
      <c r="C399" t="s">
        <v>681</v>
      </c>
      <c r="D399" t="s">
        <v>719</v>
      </c>
      <c r="E399" t="s">
        <v>696</v>
      </c>
      <c r="F399">
        <v>999</v>
      </c>
      <c r="G399">
        <v>0</v>
      </c>
      <c r="H399">
        <v>-768.19288156166795</v>
      </c>
      <c r="I399">
        <v>-18896.717206424099</v>
      </c>
      <c r="J399">
        <v>3.5570502984524098E-2</v>
      </c>
      <c r="K399">
        <v>3.7730084134296703E-2</v>
      </c>
      <c r="L399">
        <v>3.6749395032653398E-2</v>
      </c>
      <c r="M399">
        <v>3.9653408900388203E-2</v>
      </c>
      <c r="N399">
        <v>3.6492650287710898E-2</v>
      </c>
      <c r="O399">
        <v>3.7103319696280002E-2</v>
      </c>
      <c r="P399">
        <v>3.6519574610597398E-2</v>
      </c>
      <c r="Q399">
        <v>3.5937386235814599E-2</v>
      </c>
      <c r="R399">
        <v>3.5267857367428303E-2</v>
      </c>
      <c r="S399">
        <v>3.4695755661975497E-2</v>
      </c>
      <c r="T399">
        <v>3.3989800023821702E-2</v>
      </c>
      <c r="U399">
        <v>3.33747931183144E-2</v>
      </c>
      <c r="V399">
        <v>3.2855008914987702E-2</v>
      </c>
      <c r="W399">
        <v>3.2419646495653397E-2</v>
      </c>
      <c r="X399">
        <v>3.2116070576789703E-2</v>
      </c>
      <c r="Y399">
        <v>3.1808259504731602E-2</v>
      </c>
      <c r="Z399">
        <v>3.1487371828956598E-2</v>
      </c>
      <c r="AA399">
        <v>3.1065000798692E-2</v>
      </c>
      <c r="AB399">
        <v>3.0781753020699999E-2</v>
      </c>
      <c r="AC399">
        <v>3.0490559163228799E-2</v>
      </c>
      <c r="AD399">
        <v>3.0268806118960701E-2</v>
      </c>
      <c r="AE399">
        <v>3.0074413481251599E-2</v>
      </c>
      <c r="AF399">
        <v>2.9838140602749801E-2</v>
      </c>
      <c r="AG399">
        <v>2.9616477856273402E-2</v>
      </c>
      <c r="AH399">
        <v>2.9435669774590899E-2</v>
      </c>
      <c r="AI399">
        <v>2.92795099677449E-2</v>
      </c>
      <c r="AJ399">
        <v>2.9101032695295799E-2</v>
      </c>
      <c r="AK399">
        <v>2.89489732483958E-2</v>
      </c>
      <c r="AL399">
        <v>2.88148466981058E-2</v>
      </c>
      <c r="AM399">
        <v>2.86821273281768E-2</v>
      </c>
      <c r="AN399">
        <v>2.85547545686601E-2</v>
      </c>
      <c r="AO399">
        <v>2.8443202296008101E-2</v>
      </c>
      <c r="AP399">
        <v>2.8351407975555298E-2</v>
      </c>
      <c r="AQ399">
        <v>2.8239161049748201E-2</v>
      </c>
      <c r="AR399">
        <v>2.81581477538798E-2</v>
      </c>
      <c r="AS399">
        <v>2.8089437172343301E-2</v>
      </c>
    </row>
    <row r="400" spans="1:45" x14ac:dyDescent="0.3">
      <c r="A400" t="s">
        <v>737</v>
      </c>
      <c r="B400" t="s">
        <v>685</v>
      </c>
      <c r="C400" t="s">
        <v>681</v>
      </c>
      <c r="D400" t="s">
        <v>719</v>
      </c>
      <c r="E400" t="s">
        <v>696</v>
      </c>
      <c r="F400">
        <v>999</v>
      </c>
      <c r="G400">
        <v>0</v>
      </c>
      <c r="H400">
        <v>-768.19288156166795</v>
      </c>
      <c r="I400">
        <v>-18896.717206424099</v>
      </c>
      <c r="J400">
        <v>3.5570502984524098E-2</v>
      </c>
      <c r="K400">
        <v>3.7730084134296703E-2</v>
      </c>
      <c r="L400">
        <v>3.6749395032653398E-2</v>
      </c>
      <c r="M400">
        <v>3.9653408900388203E-2</v>
      </c>
      <c r="N400">
        <v>3.6492650287710898E-2</v>
      </c>
      <c r="O400">
        <v>3.5829085008176498E-2</v>
      </c>
      <c r="P400">
        <v>3.4120267776942E-2</v>
      </c>
      <c r="Q400">
        <v>3.2504744381100903E-2</v>
      </c>
      <c r="R400">
        <v>3.08983526338431E-2</v>
      </c>
      <c r="S400">
        <v>2.94592178532962E-2</v>
      </c>
      <c r="T400">
        <v>2.7982890114438001E-2</v>
      </c>
      <c r="U400">
        <v>2.66526423297959E-2</v>
      </c>
      <c r="V400">
        <v>2.5462556327021199E-2</v>
      </c>
      <c r="W400">
        <v>2.4395894006240398E-2</v>
      </c>
      <c r="X400">
        <v>2.34802710024315E-2</v>
      </c>
      <c r="Y400">
        <v>2.2606703540910999E-2</v>
      </c>
      <c r="Z400">
        <v>2.1765837206392101E-2</v>
      </c>
      <c r="AA400">
        <v>2.09022053006357E-2</v>
      </c>
      <c r="AB400">
        <v>2.0189012328288101E-2</v>
      </c>
      <c r="AC400">
        <v>1.95251328151613E-2</v>
      </c>
      <c r="AD400">
        <v>1.8940775792666599E-2</v>
      </c>
      <c r="AE400">
        <v>1.8386903453539698E-2</v>
      </c>
      <c r="AF400">
        <v>1.7782276727504001E-2</v>
      </c>
      <c r="AG400">
        <v>1.7445063613723701E-2</v>
      </c>
      <c r="AH400">
        <v>1.7264428525887301E-2</v>
      </c>
      <c r="AI400">
        <v>1.71011576352821E-2</v>
      </c>
      <c r="AJ400">
        <v>1.6927062572098299E-2</v>
      </c>
      <c r="AK400">
        <v>1.6771065091414201E-2</v>
      </c>
      <c r="AL400">
        <v>1.6629202539051199E-2</v>
      </c>
      <c r="AM400">
        <v>1.6492204421466899E-2</v>
      </c>
      <c r="AN400">
        <v>1.6359701403174401E-2</v>
      </c>
      <c r="AO400">
        <v>1.62382346057546E-2</v>
      </c>
      <c r="AP400">
        <v>1.61290643355247E-2</v>
      </c>
      <c r="AQ400">
        <v>1.6010396500566501E-2</v>
      </c>
      <c r="AR400">
        <v>1.5910714879511199E-2</v>
      </c>
      <c r="AS400">
        <v>1.5819321918688001E-2</v>
      </c>
    </row>
    <row r="401" spans="1:45" x14ac:dyDescent="0.3">
      <c r="A401" t="s">
        <v>737</v>
      </c>
      <c r="B401" t="s">
        <v>684</v>
      </c>
      <c r="C401" t="s">
        <v>681</v>
      </c>
      <c r="D401" t="s">
        <v>719</v>
      </c>
      <c r="E401" t="s">
        <v>696</v>
      </c>
      <c r="F401">
        <v>999</v>
      </c>
      <c r="G401">
        <v>0</v>
      </c>
      <c r="H401">
        <v>999</v>
      </c>
      <c r="I401">
        <v>999</v>
      </c>
      <c r="J401">
        <v>-2.6228167808932298E-4</v>
      </c>
      <c r="K401">
        <v>-2.0776472717505201E-4</v>
      </c>
      <c r="L401">
        <v>-1.7037075430485901E-4</v>
      </c>
      <c r="M401">
        <v>-2.5486810065630702E-4</v>
      </c>
      <c r="N401">
        <v>-2.6646202332380098E-4</v>
      </c>
      <c r="O401">
        <v>3.7252902984619097E-18</v>
      </c>
      <c r="P401">
        <v>1.59488990902901E-17</v>
      </c>
      <c r="Q401">
        <v>1.51339918375015E-18</v>
      </c>
      <c r="R401">
        <v>9.3132257461547896E-19</v>
      </c>
      <c r="S401">
        <v>-4.5401975512504599E-18</v>
      </c>
      <c r="T401">
        <v>9.4296410679817197E-18</v>
      </c>
      <c r="U401">
        <v>1.28056854009628E-18</v>
      </c>
      <c r="V401">
        <v>-5.8207660913467399E-19</v>
      </c>
      <c r="W401">
        <v>-3.9581209421157798E-18</v>
      </c>
      <c r="X401">
        <v>6.9849193096160898E-18</v>
      </c>
      <c r="Y401">
        <v>-8.0326572060585002E-18</v>
      </c>
      <c r="Z401">
        <v>4.4237822294235202E-18</v>
      </c>
      <c r="AA401">
        <v>-1.17579475045204E-17</v>
      </c>
      <c r="AB401">
        <v>-9.5460563898086601E-18</v>
      </c>
      <c r="AC401">
        <v>3.7252902984619097E-18</v>
      </c>
      <c r="AD401">
        <v>-1.00117176771164E-17</v>
      </c>
      <c r="AE401">
        <v>7.9162418842315705E-18</v>
      </c>
      <c r="AF401">
        <v>8.8475644588470496E-18</v>
      </c>
      <c r="AG401">
        <v>-1.9557774066925101E-17</v>
      </c>
      <c r="AH401">
        <v>1.32713466882706E-17</v>
      </c>
      <c r="AI401">
        <v>-6.0535967350006099E-18</v>
      </c>
      <c r="AJ401">
        <v>-6.0535967350006099E-18</v>
      </c>
      <c r="AK401">
        <v>-7.9162418842315705E-18</v>
      </c>
      <c r="AL401">
        <v>7.9162418842315705E-18</v>
      </c>
      <c r="AM401">
        <v>4.19095158576965E-18</v>
      </c>
      <c r="AN401">
        <v>9.3132257461547896E-19</v>
      </c>
      <c r="AO401">
        <v>6.9849193096160898E-18</v>
      </c>
      <c r="AP401">
        <v>8.3819031715393093E-18</v>
      </c>
      <c r="AQ401">
        <v>-4.65661287307739E-19</v>
      </c>
      <c r="AR401">
        <v>6.0535967350006099E-18</v>
      </c>
      <c r="AS401">
        <v>-1.1175870895385701E-17</v>
      </c>
    </row>
    <row r="402" spans="1:45" x14ac:dyDescent="0.3">
      <c r="A402" t="s">
        <v>737</v>
      </c>
      <c r="B402" t="s">
        <v>682</v>
      </c>
      <c r="C402" t="s">
        <v>681</v>
      </c>
      <c r="D402" t="s">
        <v>719</v>
      </c>
      <c r="E402" t="s">
        <v>696</v>
      </c>
      <c r="F402">
        <v>999</v>
      </c>
      <c r="G402">
        <v>0</v>
      </c>
      <c r="H402">
        <v>999</v>
      </c>
      <c r="I402">
        <v>999</v>
      </c>
      <c r="J402">
        <v>-2.6356884742950298E-4</v>
      </c>
      <c r="K402">
        <v>-2.1004751084546699E-4</v>
      </c>
      <c r="L402">
        <v>-1.7314141327921399E-4</v>
      </c>
      <c r="M402">
        <v>-2.59209917957204E-4</v>
      </c>
      <c r="N402">
        <v>-2.7158825040794402E-4</v>
      </c>
      <c r="O402">
        <v>-2.7357600629329699E-18</v>
      </c>
      <c r="P402">
        <v>-5.8207660913467399E-19</v>
      </c>
      <c r="Q402">
        <v>8.9057721197605106E-18</v>
      </c>
      <c r="R402">
        <v>2.56113708019257E-18</v>
      </c>
      <c r="S402">
        <v>-7.9744495451450299E-18</v>
      </c>
      <c r="T402">
        <v>-9.3132257461547896E-19</v>
      </c>
      <c r="U402">
        <v>-1.8626451492309598E-18</v>
      </c>
      <c r="V402">
        <v>1.37370079755783E-17</v>
      </c>
      <c r="W402">
        <v>-1.33877620100975E-17</v>
      </c>
      <c r="X402">
        <v>3.9581209421157798E-18</v>
      </c>
      <c r="Y402">
        <v>5.9371814131736802E-18</v>
      </c>
      <c r="Z402">
        <v>-1.3969838619232201E-18</v>
      </c>
      <c r="AA402">
        <v>-3.14321368932724E-18</v>
      </c>
      <c r="AB402">
        <v>8.6147338151931795E-18</v>
      </c>
      <c r="AC402">
        <v>-6.5192580223083502E-18</v>
      </c>
      <c r="AD402">
        <v>1.1641532182693501E-18</v>
      </c>
      <c r="AE402">
        <v>3.2596290111541801E-18</v>
      </c>
      <c r="AF402">
        <v>-2.09547579288483E-18</v>
      </c>
      <c r="AG402">
        <v>-1.1641532182693501E-18</v>
      </c>
      <c r="AH402">
        <v>-2.6775524020195001E-18</v>
      </c>
      <c r="AI402">
        <v>-1.7462298274040201E-18</v>
      </c>
      <c r="AJ402">
        <v>7.21774995326996E-18</v>
      </c>
      <c r="AK402">
        <v>-4.65661287307739E-19</v>
      </c>
      <c r="AL402">
        <v>2.56113708019257E-18</v>
      </c>
      <c r="AM402">
        <v>3.4924596548080401E-19</v>
      </c>
      <c r="AN402">
        <v>-4.6566128730773904E-18</v>
      </c>
      <c r="AO402">
        <v>-4.8894435167312598E-18</v>
      </c>
      <c r="AP402">
        <v>5.9371814131736802E-18</v>
      </c>
      <c r="AQ402">
        <v>-4.6566128730773904E-18</v>
      </c>
      <c r="AR402">
        <v>5.8207660913467397E-18</v>
      </c>
      <c r="AS402">
        <v>4.65661287307739E-19</v>
      </c>
    </row>
    <row r="403" spans="1:45" x14ac:dyDescent="0.3">
      <c r="A403" t="s">
        <v>736</v>
      </c>
      <c r="B403" t="s">
        <v>686</v>
      </c>
      <c r="C403" t="s">
        <v>681</v>
      </c>
      <c r="D403" t="s">
        <v>719</v>
      </c>
      <c r="E403" t="s">
        <v>696</v>
      </c>
      <c r="F403">
        <v>1.39831688165366</v>
      </c>
      <c r="G403">
        <v>18.089031664111499</v>
      </c>
      <c r="H403">
        <v>15.9484033892022</v>
      </c>
      <c r="I403">
        <v>295.57662744381201</v>
      </c>
      <c r="J403">
        <v>0.43598606767760001</v>
      </c>
      <c r="K403">
        <v>0.4298561336401</v>
      </c>
      <c r="L403">
        <v>0.39601286324871199</v>
      </c>
      <c r="M403">
        <v>0.45278963404213701</v>
      </c>
      <c r="N403">
        <v>0.42349049172129799</v>
      </c>
      <c r="O403">
        <v>0.42975753910105302</v>
      </c>
      <c r="P403">
        <v>0.42853301182408199</v>
      </c>
      <c r="Q403">
        <v>0.42640818870927599</v>
      </c>
      <c r="R403">
        <v>0.42351589419254299</v>
      </c>
      <c r="S403">
        <v>0.42058507855806998</v>
      </c>
      <c r="T403">
        <v>0.41691976974107697</v>
      </c>
      <c r="U403">
        <v>0.41410004444590798</v>
      </c>
      <c r="V403">
        <v>0.41255435146342301</v>
      </c>
      <c r="W403">
        <v>0.41161795865254902</v>
      </c>
      <c r="X403">
        <v>0.411605387580806</v>
      </c>
      <c r="Y403">
        <v>0.41141401265723498</v>
      </c>
      <c r="Z403">
        <v>0.41125060256547802</v>
      </c>
      <c r="AA403">
        <v>0.41027644335971902</v>
      </c>
      <c r="AB403">
        <v>0.409842280268927</v>
      </c>
      <c r="AC403">
        <v>0.40952569084606699</v>
      </c>
      <c r="AD403">
        <v>0.40961907939731901</v>
      </c>
      <c r="AE403">
        <v>0.409749251342994</v>
      </c>
      <c r="AF403">
        <v>0.409748903602902</v>
      </c>
      <c r="AG403">
        <v>0.40999766890413297</v>
      </c>
      <c r="AH403">
        <v>0.410536813150088</v>
      </c>
      <c r="AI403">
        <v>0.41116064223709298</v>
      </c>
      <c r="AJ403">
        <v>0.41164396829224098</v>
      </c>
      <c r="AK403">
        <v>0.41237197110051399</v>
      </c>
      <c r="AL403">
        <v>0.41312610623868701</v>
      </c>
      <c r="AM403">
        <v>0.41389882326114802</v>
      </c>
      <c r="AN403">
        <v>0.41468094012790202</v>
      </c>
      <c r="AO403">
        <v>0.415688138855898</v>
      </c>
      <c r="AP403">
        <v>0.41675467524781801</v>
      </c>
      <c r="AQ403">
        <v>0.41768928568064401</v>
      </c>
      <c r="AR403">
        <v>0.41878906681421002</v>
      </c>
      <c r="AS403">
        <v>0.420132809533728</v>
      </c>
    </row>
    <row r="404" spans="1:45" x14ac:dyDescent="0.3">
      <c r="A404" t="s">
        <v>736</v>
      </c>
      <c r="B404" t="s">
        <v>685</v>
      </c>
      <c r="C404" t="s">
        <v>681</v>
      </c>
      <c r="D404" t="s">
        <v>719</v>
      </c>
      <c r="E404" t="s">
        <v>696</v>
      </c>
      <c r="F404">
        <v>1.39831688165366</v>
      </c>
      <c r="G404">
        <v>18.089031664111499</v>
      </c>
      <c r="H404">
        <v>15.9484033892022</v>
      </c>
      <c r="I404">
        <v>295.57662744381201</v>
      </c>
      <c r="J404">
        <v>0.43598606767760001</v>
      </c>
      <c r="K404">
        <v>0.4298561336401</v>
      </c>
      <c r="L404">
        <v>0.39601286324871199</v>
      </c>
      <c r="M404">
        <v>0.45278963404213701</v>
      </c>
      <c r="N404">
        <v>0.42349049172129799</v>
      </c>
      <c r="O404">
        <v>0.414081288734029</v>
      </c>
      <c r="P404">
        <v>0.39856453257129498</v>
      </c>
      <c r="Q404">
        <v>0.38298789345221501</v>
      </c>
      <c r="R404">
        <v>0.36754293080218098</v>
      </c>
      <c r="S404">
        <v>0.352977142409234</v>
      </c>
      <c r="T404">
        <v>0.338408699170542</v>
      </c>
      <c r="U404">
        <v>0.32520439331655798</v>
      </c>
      <c r="V404">
        <v>0.31366150795307401</v>
      </c>
      <c r="W404">
        <v>0.30320415388380301</v>
      </c>
      <c r="X404">
        <v>0.29424959281394403</v>
      </c>
      <c r="Y404">
        <v>0.28588409337016402</v>
      </c>
      <c r="Z404">
        <v>0.27793987697224698</v>
      </c>
      <c r="AA404">
        <v>0.26971174466862002</v>
      </c>
      <c r="AB404">
        <v>0.26254382097679202</v>
      </c>
      <c r="AC404">
        <v>0.255981701616387</v>
      </c>
      <c r="AD404">
        <v>0.250256420830828</v>
      </c>
      <c r="AE404">
        <v>0.24508638627740101</v>
      </c>
      <c r="AF404">
        <v>0.24016589606253699</v>
      </c>
      <c r="AG404">
        <v>0.23655445898116501</v>
      </c>
      <c r="AH404">
        <v>0.23410990730780701</v>
      </c>
      <c r="AI404">
        <v>0.23375723462234901</v>
      </c>
      <c r="AJ404">
        <v>0.23359832229031699</v>
      </c>
      <c r="AK404">
        <v>0.233620286329277</v>
      </c>
      <c r="AL404">
        <v>0.233727996653078</v>
      </c>
      <c r="AM404">
        <v>0.23391343692270899</v>
      </c>
      <c r="AN404">
        <v>0.23413848592560699</v>
      </c>
      <c r="AO404">
        <v>0.23455994092615701</v>
      </c>
      <c r="AP404">
        <v>0.23512213336415699</v>
      </c>
      <c r="AQ404">
        <v>0.23557076703028099</v>
      </c>
      <c r="AR404">
        <v>0.236267323438244</v>
      </c>
      <c r="AS404">
        <v>0.237111690959427</v>
      </c>
    </row>
    <row r="405" spans="1:45" x14ac:dyDescent="0.3">
      <c r="A405" t="s">
        <v>736</v>
      </c>
      <c r="B405" t="s">
        <v>684</v>
      </c>
      <c r="C405" t="s">
        <v>681</v>
      </c>
      <c r="D405" t="s">
        <v>719</v>
      </c>
      <c r="E405" t="s">
        <v>696</v>
      </c>
      <c r="F405">
        <v>1.39831688165366</v>
      </c>
      <c r="G405">
        <v>18.089031664111499</v>
      </c>
      <c r="H405">
        <v>999</v>
      </c>
      <c r="I405">
        <v>999</v>
      </c>
      <c r="J405">
        <v>7.9259452988850298E-3</v>
      </c>
      <c r="K405">
        <v>8.5217829440243104E-3</v>
      </c>
      <c r="L405">
        <v>9.2681463469010601E-4</v>
      </c>
      <c r="M405">
        <v>7.3250147583073504E-4</v>
      </c>
      <c r="N405">
        <v>5.8825091270144503E-4</v>
      </c>
      <c r="O405">
        <v>-3.2037496566772501E-16</v>
      </c>
      <c r="P405">
        <v>1.09430402517319E-16</v>
      </c>
      <c r="Q405">
        <v>1.5227124094963101E-16</v>
      </c>
      <c r="R405">
        <v>2.7008354663848899E-16</v>
      </c>
      <c r="S405">
        <v>2.8498470783233599E-16</v>
      </c>
      <c r="T405">
        <v>1.8812716007232699E-16</v>
      </c>
      <c r="U405">
        <v>8.5216015577316302E-17</v>
      </c>
      <c r="V405">
        <v>2.5564804673194898E-16</v>
      </c>
      <c r="W405">
        <v>1.10827386379242E-16</v>
      </c>
      <c r="X405">
        <v>1.03842467069626E-16</v>
      </c>
      <c r="Y405">
        <v>-1.86730176210403E-16</v>
      </c>
      <c r="Z405">
        <v>2.66358256340027E-16</v>
      </c>
      <c r="AA405">
        <v>-4.8987567424774202E-16</v>
      </c>
      <c r="AB405">
        <v>-4.3865293264389001E-16</v>
      </c>
      <c r="AC405">
        <v>-4.9639493227004997E-16</v>
      </c>
      <c r="AD405">
        <v>-2.2072345018386801E-16</v>
      </c>
      <c r="AE405">
        <v>3.2223761081695601E-16</v>
      </c>
      <c r="AF405">
        <v>1.1920928955078101E-16</v>
      </c>
      <c r="AG405">
        <v>-1.1175870895385699E-16</v>
      </c>
      <c r="AH405">
        <v>-3.2968819141387902E-16</v>
      </c>
      <c r="AI405">
        <v>-2.5145709514617901E-16</v>
      </c>
      <c r="AJ405">
        <v>3.2596290111541801E-16</v>
      </c>
      <c r="AK405">
        <v>-1.1548399925231899E-16</v>
      </c>
      <c r="AL405">
        <v>2.0675361156463601E-16</v>
      </c>
      <c r="AM405">
        <v>5.7741999626159704E-17</v>
      </c>
      <c r="AN405">
        <v>4.4703483581543004E-16</v>
      </c>
      <c r="AO405">
        <v>2.64495611190796E-16</v>
      </c>
      <c r="AP405">
        <v>-1.26659870147705E-16</v>
      </c>
      <c r="AQ405">
        <v>-1.6391277313232401E-16</v>
      </c>
      <c r="AR405">
        <v>-1.49011611938477E-17</v>
      </c>
      <c r="AS405">
        <v>-1.81607902050018E-16</v>
      </c>
    </row>
    <row r="406" spans="1:45" x14ac:dyDescent="0.3">
      <c r="A406" t="s">
        <v>736</v>
      </c>
      <c r="B406" t="s">
        <v>682</v>
      </c>
      <c r="C406" t="s">
        <v>681</v>
      </c>
      <c r="D406" t="s">
        <v>719</v>
      </c>
      <c r="E406" t="s">
        <v>696</v>
      </c>
      <c r="F406">
        <v>1.39831688165366</v>
      </c>
      <c r="G406">
        <v>18.089031664111499</v>
      </c>
      <c r="H406">
        <v>999</v>
      </c>
      <c r="I406">
        <v>999</v>
      </c>
      <c r="J406">
        <v>7.9038635561288293E-3</v>
      </c>
      <c r="K406">
        <v>8.4924527202236907E-3</v>
      </c>
      <c r="L406">
        <v>8.8145771470139603E-4</v>
      </c>
      <c r="M406">
        <v>6.6314042918359198E-4</v>
      </c>
      <c r="N406">
        <v>5.1154433273285598E-4</v>
      </c>
      <c r="O406">
        <v>-3.3038668334484098E-16</v>
      </c>
      <c r="P406">
        <v>8.89413058757782E-17</v>
      </c>
      <c r="Q406">
        <v>-3.3993273973464999E-17</v>
      </c>
      <c r="R406">
        <v>-2.16532498598099E-16</v>
      </c>
      <c r="S406">
        <v>1.1175870895385701E-17</v>
      </c>
      <c r="T406">
        <v>-3.24565917253494E-16</v>
      </c>
      <c r="U406">
        <v>4.1443854570388801E-17</v>
      </c>
      <c r="V406">
        <v>9.9651515483856206E-17</v>
      </c>
      <c r="W406">
        <v>5.3085386753082301E-17</v>
      </c>
      <c r="X406">
        <v>-1.16880983114243E-16</v>
      </c>
      <c r="Y406">
        <v>1.8533319234848E-16</v>
      </c>
      <c r="Z406">
        <v>9.2666596174240098E-17</v>
      </c>
      <c r="AA406">
        <v>-1.0337680578231801E-16</v>
      </c>
      <c r="AB406">
        <v>1.5785917639732401E-16</v>
      </c>
      <c r="AC406">
        <v>-2.09547579288483E-17</v>
      </c>
      <c r="AD406">
        <v>-8.3819031715393093E-18</v>
      </c>
      <c r="AE406">
        <v>-1.7695128917694099E-17</v>
      </c>
      <c r="AF406">
        <v>-5.0291419029235797E-17</v>
      </c>
      <c r="AG406">
        <v>1.28522515296936E-16</v>
      </c>
      <c r="AH406">
        <v>5.5413693189620999E-17</v>
      </c>
      <c r="AI406">
        <v>-2.74740159511566E-17</v>
      </c>
      <c r="AJ406">
        <v>-1.1175870895385701E-17</v>
      </c>
      <c r="AK406">
        <v>-1.1175870895385701E-17</v>
      </c>
      <c r="AL406">
        <v>-1.27591192722321E-16</v>
      </c>
      <c r="AM406">
        <v>-2.6077032089233401E-17</v>
      </c>
      <c r="AN406">
        <v>-1.40629708766937E-16</v>
      </c>
      <c r="AO406">
        <v>1.01048499345779E-16</v>
      </c>
      <c r="AP406">
        <v>1.0663643479347201E-16</v>
      </c>
      <c r="AQ406">
        <v>-9.2200934886932397E-17</v>
      </c>
      <c r="AR406">
        <v>-1.33644789457321E-16</v>
      </c>
      <c r="AS406">
        <v>6.9383531808853099E-17</v>
      </c>
    </row>
    <row r="407" spans="1:45" x14ac:dyDescent="0.3">
      <c r="A407" t="s">
        <v>735</v>
      </c>
      <c r="B407" t="s">
        <v>686</v>
      </c>
      <c r="C407" t="s">
        <v>681</v>
      </c>
      <c r="D407" t="s">
        <v>719</v>
      </c>
      <c r="E407" t="s">
        <v>22</v>
      </c>
      <c r="F407">
        <v>999</v>
      </c>
      <c r="G407">
        <v>0</v>
      </c>
      <c r="H407">
        <v>-382.87587159102202</v>
      </c>
      <c r="I407">
        <v>-9418.3339162299308</v>
      </c>
      <c r="J407">
        <v>1.6997072700000001E-2</v>
      </c>
      <c r="K407">
        <v>1.6789534799999999E-2</v>
      </c>
      <c r="L407">
        <v>1.6415748160014201E-2</v>
      </c>
      <c r="M407">
        <v>1.6050723877983199E-2</v>
      </c>
      <c r="N407">
        <v>1.5634331772947999E-2</v>
      </c>
      <c r="O407">
        <v>1.5300191426475099E-2</v>
      </c>
      <c r="P407">
        <v>1.49143074938643E-2</v>
      </c>
      <c r="Q407">
        <v>1.4597436136620401E-2</v>
      </c>
      <c r="R407">
        <v>1.4323737594843599E-2</v>
      </c>
      <c r="S407">
        <v>1.40855282114922E-2</v>
      </c>
      <c r="T407">
        <v>1.3801246255147901E-2</v>
      </c>
      <c r="U407">
        <v>1.35421574085842E-2</v>
      </c>
      <c r="V407">
        <v>1.33261130960652E-2</v>
      </c>
      <c r="W407">
        <v>1.3138393757535199E-2</v>
      </c>
      <c r="X407">
        <v>1.3001617950020999E-2</v>
      </c>
      <c r="Y407">
        <v>1.2856922671901701E-2</v>
      </c>
      <c r="Z407">
        <v>1.26988252467835E-2</v>
      </c>
      <c r="AA407">
        <v>1.2499616636162499E-2</v>
      </c>
      <c r="AB407">
        <v>1.2344048338424601E-2</v>
      </c>
      <c r="AC407">
        <v>1.21802474839689E-2</v>
      </c>
      <c r="AD407">
        <v>1.2040225808490001E-2</v>
      </c>
      <c r="AE407">
        <v>1.1909890676133E-2</v>
      </c>
      <c r="AF407">
        <v>1.1758127164559999E-2</v>
      </c>
      <c r="AG407">
        <v>1.1622495586427599E-2</v>
      </c>
      <c r="AH407">
        <v>1.14971240960674E-2</v>
      </c>
      <c r="AI407">
        <v>1.13824876159342E-2</v>
      </c>
      <c r="AJ407">
        <v>1.12537249056208E-2</v>
      </c>
      <c r="AK407">
        <v>1.1132426140688E-2</v>
      </c>
      <c r="AL407">
        <v>1.1014817974925799E-2</v>
      </c>
      <c r="AM407">
        <v>1.09019191828316E-2</v>
      </c>
      <c r="AN407">
        <v>1.07889471269321E-2</v>
      </c>
      <c r="AO407">
        <v>1.0681308640024201E-2</v>
      </c>
      <c r="AP407">
        <v>1.0578809997944E-2</v>
      </c>
      <c r="AQ407">
        <v>1.0471071103501499E-2</v>
      </c>
      <c r="AR407">
        <v>1.0379238381050201E-2</v>
      </c>
      <c r="AS407">
        <v>1.0280477713879599E-2</v>
      </c>
    </row>
    <row r="408" spans="1:45" x14ac:dyDescent="0.3">
      <c r="A408" t="s">
        <v>735</v>
      </c>
      <c r="B408" t="s">
        <v>685</v>
      </c>
      <c r="C408" t="s">
        <v>681</v>
      </c>
      <c r="D408" t="s">
        <v>719</v>
      </c>
      <c r="E408" t="s">
        <v>22</v>
      </c>
      <c r="F408">
        <v>999</v>
      </c>
      <c r="G408">
        <v>0</v>
      </c>
      <c r="H408">
        <v>-382.87587159102202</v>
      </c>
      <c r="I408">
        <v>-9418.3339162299308</v>
      </c>
      <c r="J408">
        <v>1.6997072700000001E-2</v>
      </c>
      <c r="K408">
        <v>1.6789534799999999E-2</v>
      </c>
      <c r="L408">
        <v>1.6415748160014201E-2</v>
      </c>
      <c r="M408">
        <v>1.6050723877983199E-2</v>
      </c>
      <c r="N408">
        <v>1.5634331772947999E-2</v>
      </c>
      <c r="O408">
        <v>1.4215391761211201E-2</v>
      </c>
      <c r="P408">
        <v>1.29485644865095E-2</v>
      </c>
      <c r="Q408">
        <v>1.1843427056785901E-2</v>
      </c>
      <c r="R408">
        <v>1.0855200329062099E-2</v>
      </c>
      <c r="S408">
        <v>9.9721030429599407E-3</v>
      </c>
      <c r="T408">
        <v>9.1232410243982792E-3</v>
      </c>
      <c r="U408">
        <v>8.3565217067425E-3</v>
      </c>
      <c r="V408">
        <v>7.6315629720048097E-3</v>
      </c>
      <c r="W408">
        <v>6.9439434995523198E-3</v>
      </c>
      <c r="X408">
        <v>6.3303097504153099E-3</v>
      </c>
      <c r="Y408">
        <v>5.7604139103178704E-3</v>
      </c>
      <c r="Z408">
        <v>5.3259721107919104E-3</v>
      </c>
      <c r="AA408">
        <v>5.1365035825344596E-3</v>
      </c>
      <c r="AB408">
        <v>4.9743839848781597E-3</v>
      </c>
      <c r="AC408">
        <v>4.8160695033011404E-3</v>
      </c>
      <c r="AD408">
        <v>4.6748002295096402E-3</v>
      </c>
      <c r="AE408">
        <v>4.5359095655481503E-3</v>
      </c>
      <c r="AF408">
        <v>4.4106507495693002E-3</v>
      </c>
      <c r="AG408">
        <v>4.3385607579949498E-3</v>
      </c>
      <c r="AH408">
        <v>4.3146560217901904E-3</v>
      </c>
      <c r="AI408">
        <v>4.2903851557259901E-3</v>
      </c>
      <c r="AJ408">
        <v>4.2611358908998202E-3</v>
      </c>
      <c r="AK408">
        <v>4.2283704625736898E-3</v>
      </c>
      <c r="AL408">
        <v>4.1994443794551497E-3</v>
      </c>
      <c r="AM408">
        <v>4.1730531404953397E-3</v>
      </c>
      <c r="AN408">
        <v>4.1454587106750903E-3</v>
      </c>
      <c r="AO408">
        <v>4.1180048096084096E-3</v>
      </c>
      <c r="AP408">
        <v>4.0917960108678101E-3</v>
      </c>
      <c r="AQ408">
        <v>4.0628978898733497E-3</v>
      </c>
      <c r="AR408">
        <v>4.0404295250123599E-3</v>
      </c>
      <c r="AS408">
        <v>4.0149730113249104E-3</v>
      </c>
    </row>
    <row r="409" spans="1:45" x14ac:dyDescent="0.3">
      <c r="A409" t="s">
        <v>735</v>
      </c>
      <c r="B409" t="s">
        <v>684</v>
      </c>
      <c r="C409" t="s">
        <v>681</v>
      </c>
      <c r="D409" t="s">
        <v>719</v>
      </c>
      <c r="E409" t="s">
        <v>22</v>
      </c>
      <c r="F409">
        <v>999</v>
      </c>
      <c r="G409">
        <v>0</v>
      </c>
      <c r="H409">
        <v>999</v>
      </c>
      <c r="I409">
        <v>999</v>
      </c>
      <c r="J409">
        <v>2.83284545E-3</v>
      </c>
      <c r="K409">
        <v>1.9208528101444201E-18</v>
      </c>
      <c r="L409">
        <v>-2.6229827199131299E-18</v>
      </c>
      <c r="M409">
        <v>-1.34605215862393E-18</v>
      </c>
      <c r="N409">
        <v>3.3542164601385598E-18</v>
      </c>
      <c r="O409">
        <v>-2.6702764444053199E-18</v>
      </c>
      <c r="P409">
        <v>1.9208528101444201E-18</v>
      </c>
      <c r="Q409">
        <v>-1.0550138540565999E-18</v>
      </c>
      <c r="R409">
        <v>6.1700120568275503E-18</v>
      </c>
      <c r="S409">
        <v>-1.74622982740402E-19</v>
      </c>
      <c r="T409">
        <v>-2.1100277081131899E-18</v>
      </c>
      <c r="U409">
        <v>1.04773789644241E-18</v>
      </c>
      <c r="V409">
        <v>2.6484485715627699E-18</v>
      </c>
      <c r="W409">
        <v>8.8766682893037801E-19</v>
      </c>
      <c r="X409">
        <v>2.895831130445E-18</v>
      </c>
      <c r="Y409">
        <v>1.2514647096395501E-18</v>
      </c>
      <c r="Z409">
        <v>-6.0390448197722404E-18</v>
      </c>
      <c r="AA409">
        <v>1.3969838619232201E-18</v>
      </c>
      <c r="AB409">
        <v>-2.13913153856993E-18</v>
      </c>
      <c r="AC409">
        <v>-8.2509359344840101E-18</v>
      </c>
      <c r="AD409">
        <v>-3.27418092638254E-18</v>
      </c>
      <c r="AE409">
        <v>-2.7066562324762302E-18</v>
      </c>
      <c r="AF409">
        <v>4.1036400943994501E-18</v>
      </c>
      <c r="AG409">
        <v>-1.6298145055770901E-18</v>
      </c>
      <c r="AH409">
        <v>-2.38651409745216E-18</v>
      </c>
      <c r="AI409">
        <v>-1.8626451492309598E-18</v>
      </c>
      <c r="AJ409">
        <v>-6.8685039877891501E-18</v>
      </c>
      <c r="AK409">
        <v>-8.4401108324527697E-19</v>
      </c>
      <c r="AL409">
        <v>7.21774995326996E-18</v>
      </c>
      <c r="AM409">
        <v>3.60887497663498E-18</v>
      </c>
      <c r="AN409">
        <v>5.5006239563226703E-18</v>
      </c>
      <c r="AO409">
        <v>-5.9662852436304097E-19</v>
      </c>
      <c r="AP409">
        <v>9.3132257461547896E-19</v>
      </c>
      <c r="AQ409">
        <v>8.1490725278854397E-19</v>
      </c>
      <c r="AR409">
        <v>-9.6042640507221196E-18</v>
      </c>
      <c r="AS409">
        <v>6.83940015733242E-19</v>
      </c>
    </row>
    <row r="410" spans="1:45" x14ac:dyDescent="0.3">
      <c r="A410" t="s">
        <v>735</v>
      </c>
      <c r="B410" t="s">
        <v>682</v>
      </c>
      <c r="C410" t="s">
        <v>681</v>
      </c>
      <c r="D410" t="s">
        <v>719</v>
      </c>
      <c r="E410" t="s">
        <v>22</v>
      </c>
      <c r="F410">
        <v>999</v>
      </c>
      <c r="G410">
        <v>0</v>
      </c>
      <c r="H410">
        <v>999</v>
      </c>
      <c r="I410">
        <v>999</v>
      </c>
      <c r="J410">
        <v>2.83284545E-3</v>
      </c>
      <c r="K410">
        <v>1.9208528101444201E-18</v>
      </c>
      <c r="L410">
        <v>-2.6229827199131299E-18</v>
      </c>
      <c r="M410">
        <v>-1.34605215862393E-18</v>
      </c>
      <c r="N410">
        <v>3.3542164601385598E-18</v>
      </c>
      <c r="O410">
        <v>1.23691279441118E-18</v>
      </c>
      <c r="P410">
        <v>-1.2223608791828199E-18</v>
      </c>
      <c r="Q410">
        <v>2.34285835176706E-18</v>
      </c>
      <c r="R410">
        <v>4.3073669075965897E-18</v>
      </c>
      <c r="S410">
        <v>1.30239641293883E-18</v>
      </c>
      <c r="T410">
        <v>-9.5315044745802895E-19</v>
      </c>
      <c r="U410">
        <v>-1.86992110684514E-18</v>
      </c>
      <c r="V410">
        <v>7.4942363426089303E-19</v>
      </c>
      <c r="W410">
        <v>3.5361154004931403E-18</v>
      </c>
      <c r="X410">
        <v>2.16095941141248E-18</v>
      </c>
      <c r="Y410">
        <v>8.80390871316195E-19</v>
      </c>
      <c r="Z410">
        <v>-1.48429535329342E-18</v>
      </c>
      <c r="AA410">
        <v>2.1318555809557399E-18</v>
      </c>
      <c r="AB410">
        <v>3.6015990190208001E-19</v>
      </c>
      <c r="AC410">
        <v>3.7180143408477303E-18</v>
      </c>
      <c r="AD410">
        <v>-1.4042598195374E-18</v>
      </c>
      <c r="AE410">
        <v>-1.2078089639544501E-18</v>
      </c>
      <c r="AF410">
        <v>4.7657522372901399E-19</v>
      </c>
      <c r="AG410">
        <v>4.9112713895738098E-19</v>
      </c>
      <c r="AH410">
        <v>-2.5684130378067501E-18</v>
      </c>
      <c r="AI410">
        <v>1.03682396002114E-18</v>
      </c>
      <c r="AJ410">
        <v>6.62112142890692E-19</v>
      </c>
      <c r="AK410">
        <v>-5.60248736292124E-19</v>
      </c>
      <c r="AL410">
        <v>1.8117134459316701E-18</v>
      </c>
      <c r="AM410">
        <v>-1.0913936421275099E-19</v>
      </c>
      <c r="AN410">
        <v>-6.3300831243395804E-19</v>
      </c>
      <c r="AO410">
        <v>-5.4569682106375701E-20</v>
      </c>
      <c r="AP410">
        <v>4.9840309657156504E-19</v>
      </c>
      <c r="AQ410">
        <v>-1.69166014529765E-18</v>
      </c>
      <c r="AR410">
        <v>-7.8944140113890199E-19</v>
      </c>
      <c r="AS410">
        <v>-5.0931703299284004E-19</v>
      </c>
    </row>
    <row r="411" spans="1:45" x14ac:dyDescent="0.3">
      <c r="A411" t="s">
        <v>734</v>
      </c>
      <c r="B411" t="s">
        <v>686</v>
      </c>
      <c r="C411" t="s">
        <v>681</v>
      </c>
      <c r="D411" t="s">
        <v>719</v>
      </c>
      <c r="E411" t="s">
        <v>22</v>
      </c>
      <c r="F411">
        <v>-14.3669907332278</v>
      </c>
      <c r="G411">
        <v>37.804716354738098</v>
      </c>
      <c r="H411">
        <v>36.064293655653998</v>
      </c>
      <c r="I411">
        <v>542.907593842898</v>
      </c>
      <c r="J411">
        <v>8.1755339499999996E-2</v>
      </c>
      <c r="K411">
        <v>8.4071122799999995E-2</v>
      </c>
      <c r="L411">
        <v>8.5088139500000007E-2</v>
      </c>
      <c r="M411">
        <v>8.6336642500000005E-2</v>
      </c>
      <c r="N411">
        <v>8.7456534200000005E-2</v>
      </c>
      <c r="O411">
        <v>8.8342426099999996E-2</v>
      </c>
      <c r="P411">
        <v>8.8953977700000006E-2</v>
      </c>
      <c r="Q411">
        <v>8.9432380300000003E-2</v>
      </c>
      <c r="R411">
        <v>8.9738845600000006E-2</v>
      </c>
      <c r="S411">
        <v>8.9912776599999994E-2</v>
      </c>
      <c r="T411">
        <v>9.0131241900000006E-2</v>
      </c>
      <c r="U411">
        <v>9.0598574000000001E-2</v>
      </c>
      <c r="V411">
        <v>9.1301864100000005E-2</v>
      </c>
      <c r="W411">
        <v>9.2097228000000003E-2</v>
      </c>
      <c r="X411">
        <v>9.2921589200000002E-2</v>
      </c>
      <c r="Y411">
        <v>9.3782125999999993E-2</v>
      </c>
      <c r="Z411">
        <v>9.4715410099999994E-2</v>
      </c>
      <c r="AA411">
        <v>9.5574083399999996E-2</v>
      </c>
      <c r="AB411">
        <v>9.6380603999999995E-2</v>
      </c>
      <c r="AC411">
        <v>9.7207407300000007E-2</v>
      </c>
      <c r="AD411">
        <v>9.8053280000000007E-2</v>
      </c>
      <c r="AE411">
        <v>9.8876612500000002E-2</v>
      </c>
      <c r="AF411">
        <v>9.9684386900000005E-2</v>
      </c>
      <c r="AG411">
        <v>0.1005448406</v>
      </c>
      <c r="AH411">
        <v>0.1014310075</v>
      </c>
      <c r="AI411">
        <v>0.1023005698</v>
      </c>
      <c r="AJ411">
        <v>0.103193479</v>
      </c>
      <c r="AK411">
        <v>0.10407107779999999</v>
      </c>
      <c r="AL411">
        <v>0.10490496370000001</v>
      </c>
      <c r="AM411">
        <v>0.1057201131</v>
      </c>
      <c r="AN411">
        <v>0.1065230264</v>
      </c>
      <c r="AO411">
        <v>0.1073353289</v>
      </c>
      <c r="AP411">
        <v>0.1081527009</v>
      </c>
      <c r="AQ411">
        <v>0.108931631</v>
      </c>
      <c r="AR411">
        <v>0.1096463543</v>
      </c>
      <c r="AS411">
        <v>0.11037302340000001</v>
      </c>
    </row>
    <row r="412" spans="1:45" x14ac:dyDescent="0.3">
      <c r="A412" t="s">
        <v>734</v>
      </c>
      <c r="B412" t="s">
        <v>685</v>
      </c>
      <c r="C412" t="s">
        <v>681</v>
      </c>
      <c r="D412" t="s">
        <v>719</v>
      </c>
      <c r="E412" t="s">
        <v>22</v>
      </c>
      <c r="F412">
        <v>-14.3669907332278</v>
      </c>
      <c r="G412">
        <v>37.804716354738098</v>
      </c>
      <c r="H412">
        <v>36.064293655653998</v>
      </c>
      <c r="I412">
        <v>542.907593842898</v>
      </c>
      <c r="J412">
        <v>8.1755339499999996E-2</v>
      </c>
      <c r="K412">
        <v>8.4071122799999995E-2</v>
      </c>
      <c r="L412">
        <v>8.5088139500000007E-2</v>
      </c>
      <c r="M412">
        <v>8.6336642500000005E-2</v>
      </c>
      <c r="N412">
        <v>8.7456534200000005E-2</v>
      </c>
      <c r="O412">
        <v>8.3846129884240103E-2</v>
      </c>
      <c r="P412">
        <v>8.0352774404342603E-2</v>
      </c>
      <c r="Q412">
        <v>7.6809790672490302E-2</v>
      </c>
      <c r="R412">
        <v>7.3235402257311205E-2</v>
      </c>
      <c r="S412">
        <v>6.9767916530257407E-2</v>
      </c>
      <c r="T412">
        <v>6.6400150231914506E-2</v>
      </c>
      <c r="U412">
        <v>6.3084555922893207E-2</v>
      </c>
      <c r="V412">
        <v>5.9817066177637997E-2</v>
      </c>
      <c r="W412">
        <v>5.6727192246563002E-2</v>
      </c>
      <c r="X412">
        <v>5.3863071475669697E-2</v>
      </c>
      <c r="Y412">
        <v>5.2161544068559697E-2</v>
      </c>
      <c r="Z412">
        <v>5.1992173723485899E-2</v>
      </c>
      <c r="AA412">
        <v>5.1636589213074499E-2</v>
      </c>
      <c r="AB412">
        <v>5.14213308183053E-2</v>
      </c>
      <c r="AC412">
        <v>5.11675625898435E-2</v>
      </c>
      <c r="AD412">
        <v>5.1007884789313902E-2</v>
      </c>
      <c r="AE412">
        <v>5.1106433947367698E-2</v>
      </c>
      <c r="AF412">
        <v>5.1438330537470801E-2</v>
      </c>
      <c r="AG412">
        <v>5.1820403864258298E-2</v>
      </c>
      <c r="AH412">
        <v>5.2238678097724499E-2</v>
      </c>
      <c r="AI412">
        <v>5.2630007777966198E-2</v>
      </c>
      <c r="AJ412">
        <v>5.3013302762816301E-2</v>
      </c>
      <c r="AK412">
        <v>5.3372696783450899E-2</v>
      </c>
      <c r="AL412">
        <v>5.3719540663854801E-2</v>
      </c>
      <c r="AM412">
        <v>5.4059072821680598E-2</v>
      </c>
      <c r="AN412">
        <v>5.4390174758667899E-2</v>
      </c>
      <c r="AO412">
        <v>5.4737768466879201E-2</v>
      </c>
      <c r="AP412">
        <v>5.5129764965826902E-2</v>
      </c>
      <c r="AQ412">
        <v>5.5471072205935799E-2</v>
      </c>
      <c r="AR412">
        <v>5.5801657191576599E-2</v>
      </c>
      <c r="AS412">
        <v>5.6107705214220302E-2</v>
      </c>
    </row>
    <row r="413" spans="1:45" x14ac:dyDescent="0.3">
      <c r="A413" t="s">
        <v>734</v>
      </c>
      <c r="B413" t="s">
        <v>684</v>
      </c>
      <c r="C413" t="s">
        <v>681</v>
      </c>
      <c r="D413" t="s">
        <v>719</v>
      </c>
      <c r="E413" t="s">
        <v>22</v>
      </c>
      <c r="F413">
        <v>-14.3669907332278</v>
      </c>
      <c r="G413">
        <v>37.804716354738098</v>
      </c>
      <c r="H413">
        <v>999</v>
      </c>
      <c r="I413">
        <v>999</v>
      </c>
      <c r="J413">
        <v>9.6877600000001507E-5</v>
      </c>
      <c r="K413">
        <v>-2.2992026060819601E-18</v>
      </c>
      <c r="L413">
        <v>5.5879354476928703E-18</v>
      </c>
      <c r="M413">
        <v>4.0745362639427198E-19</v>
      </c>
      <c r="N413">
        <v>-1.37370079755783E-17</v>
      </c>
      <c r="O413">
        <v>1.57160684466362E-18</v>
      </c>
      <c r="P413">
        <v>1.7171259969472899E-17</v>
      </c>
      <c r="Q413">
        <v>2.4621840566396699E-17</v>
      </c>
      <c r="R413">
        <v>-7.4505805969238301E-18</v>
      </c>
      <c r="S413">
        <v>2.4214386940002399E-17</v>
      </c>
      <c r="T413">
        <v>5.9371814131736802E-18</v>
      </c>
      <c r="U413">
        <v>-2.7939677238464402E-18</v>
      </c>
      <c r="V413">
        <v>1.37370079755783E-17</v>
      </c>
      <c r="W413">
        <v>1.03609636425972E-17</v>
      </c>
      <c r="X413">
        <v>-2.8172507882118197E-17</v>
      </c>
      <c r="Y413">
        <v>-1.32713466882706E-17</v>
      </c>
      <c r="Z413">
        <v>-2.4214386940002399E-17</v>
      </c>
      <c r="AA413">
        <v>-3.2596290111541801E-18</v>
      </c>
      <c r="AB413">
        <v>3.7252902984619097E-18</v>
      </c>
      <c r="AC413">
        <v>-4.9592927098274197E-17</v>
      </c>
      <c r="AD413">
        <v>-1.8393620848655699E-17</v>
      </c>
      <c r="AE413">
        <v>9.7788870334625303E-18</v>
      </c>
      <c r="AF413">
        <v>-2.8870999813079803E-17</v>
      </c>
      <c r="AG413">
        <v>-5.5879354476928703E-18</v>
      </c>
      <c r="AH413">
        <v>5.1222741603851299E-18</v>
      </c>
      <c r="AI413">
        <v>2.09547579288483E-17</v>
      </c>
      <c r="AJ413">
        <v>-1.02445483207703E-17</v>
      </c>
      <c r="AK413">
        <v>-1.0710209608078E-17</v>
      </c>
      <c r="AL413">
        <v>1.5832483768463101E-17</v>
      </c>
      <c r="AM413">
        <v>1.02445483207703E-17</v>
      </c>
      <c r="AN413">
        <v>7.4505805969238301E-18</v>
      </c>
      <c r="AO413">
        <v>-6.0535967350006099E-18</v>
      </c>
      <c r="AP413">
        <v>4.6566128730773904E-18</v>
      </c>
      <c r="AQ413">
        <v>2.4680048227310201E-17</v>
      </c>
      <c r="AR413">
        <v>1.6298145055770901E-18</v>
      </c>
      <c r="AS413">
        <v>-1.8626451492309602E-17</v>
      </c>
    </row>
    <row r="414" spans="1:45" x14ac:dyDescent="0.3">
      <c r="A414" t="s">
        <v>734</v>
      </c>
      <c r="B414" t="s">
        <v>682</v>
      </c>
      <c r="C414" t="s">
        <v>681</v>
      </c>
      <c r="D414" t="s">
        <v>719</v>
      </c>
      <c r="E414" t="s">
        <v>22</v>
      </c>
      <c r="F414">
        <v>-14.3669907332278</v>
      </c>
      <c r="G414">
        <v>37.804716354738098</v>
      </c>
      <c r="H414">
        <v>999</v>
      </c>
      <c r="I414">
        <v>999</v>
      </c>
      <c r="J414">
        <v>9.6877600000001507E-5</v>
      </c>
      <c r="K414">
        <v>-2.2992026060819601E-18</v>
      </c>
      <c r="L414">
        <v>5.5879354476928703E-18</v>
      </c>
      <c r="M414">
        <v>4.0745362639427198E-19</v>
      </c>
      <c r="N414">
        <v>-1.37370079755783E-17</v>
      </c>
      <c r="O414">
        <v>-3.8999132812023196E-18</v>
      </c>
      <c r="P414">
        <v>-5.70435076951981E-18</v>
      </c>
      <c r="Q414">
        <v>-2.74740159511566E-17</v>
      </c>
      <c r="R414">
        <v>-5.1222741603851299E-18</v>
      </c>
      <c r="S414">
        <v>1.8044374883174899E-17</v>
      </c>
      <c r="T414">
        <v>-8.8475644588470496E-18</v>
      </c>
      <c r="U414">
        <v>-3.2596290111541801E-18</v>
      </c>
      <c r="V414">
        <v>-3.7252902984619097E-18</v>
      </c>
      <c r="W414">
        <v>-2.4447217583656299E-18</v>
      </c>
      <c r="X414">
        <v>-1.55996531248093E-17</v>
      </c>
      <c r="Y414">
        <v>-2.9103830456733698E-18</v>
      </c>
      <c r="Z414">
        <v>-6.8685039877891501E-18</v>
      </c>
      <c r="AA414">
        <v>-5.8207660913467397E-18</v>
      </c>
      <c r="AB414">
        <v>-1.5133991837501501E-17</v>
      </c>
      <c r="AC414">
        <v>-1.29221007227898E-17</v>
      </c>
      <c r="AD414">
        <v>-1.30385160446167E-17</v>
      </c>
      <c r="AE414">
        <v>2.6775524020195001E-18</v>
      </c>
      <c r="AF414">
        <v>-1.03609636425972E-17</v>
      </c>
      <c r="AG414">
        <v>1.15251168608665E-17</v>
      </c>
      <c r="AH414">
        <v>1.30385160446167E-17</v>
      </c>
      <c r="AI414">
        <v>2.4097971618175499E-17</v>
      </c>
      <c r="AJ414">
        <v>-8.3819031715393093E-18</v>
      </c>
      <c r="AK414">
        <v>-2.2118911147117601E-18</v>
      </c>
      <c r="AL414">
        <v>6.5192580223083502E-18</v>
      </c>
      <c r="AM414">
        <v>1.03609636425972E-17</v>
      </c>
      <c r="AN414">
        <v>-6.9849193096160898E-19</v>
      </c>
      <c r="AO414">
        <v>-1.37370079755783E-17</v>
      </c>
      <c r="AP414">
        <v>-3.8417056202888502E-18</v>
      </c>
      <c r="AQ414">
        <v>-5.8207660913467399E-19</v>
      </c>
      <c r="AR414">
        <v>-9.3132257461547896E-19</v>
      </c>
      <c r="AS414">
        <v>2.02562659978867E-17</v>
      </c>
    </row>
    <row r="415" spans="1:45" x14ac:dyDescent="0.3">
      <c r="A415" t="s">
        <v>733</v>
      </c>
      <c r="B415" t="s">
        <v>686</v>
      </c>
      <c r="C415" t="s">
        <v>681</v>
      </c>
      <c r="D415" t="s">
        <v>719</v>
      </c>
      <c r="E415" t="s">
        <v>721</v>
      </c>
      <c r="F415">
        <v>88.841380015891403</v>
      </c>
      <c r="G415">
        <v>1.1236499057765501</v>
      </c>
      <c r="H415">
        <v>2.0454370054261601</v>
      </c>
      <c r="I415">
        <v>48.971675395534298</v>
      </c>
      <c r="J415">
        <v>0.14000375440000001</v>
      </c>
      <c r="K415">
        <v>0.1405580471</v>
      </c>
      <c r="L415">
        <v>0.13582626338689199</v>
      </c>
      <c r="M415">
        <v>0.14073870139787401</v>
      </c>
      <c r="N415">
        <v>0.13591461855458001</v>
      </c>
      <c r="O415">
        <v>0.13706818716702601</v>
      </c>
      <c r="P415">
        <v>0.13597484040699401</v>
      </c>
      <c r="Q415">
        <v>0.134940708619985</v>
      </c>
      <c r="R415">
        <v>0.13401997352540199</v>
      </c>
      <c r="S415">
        <v>0.133455410653951</v>
      </c>
      <c r="T415">
        <v>0.132473617956336</v>
      </c>
      <c r="U415">
        <v>0.130792550697264</v>
      </c>
      <c r="V415">
        <v>0.12959346267482599</v>
      </c>
      <c r="W415">
        <v>0.12875380540725201</v>
      </c>
      <c r="X415">
        <v>0.128432380650051</v>
      </c>
      <c r="Y415">
        <v>0.12746285886939601</v>
      </c>
      <c r="Z415">
        <v>0.126570114062101</v>
      </c>
      <c r="AA415">
        <v>0.125455312946681</v>
      </c>
      <c r="AB415">
        <v>0.124854088939347</v>
      </c>
      <c r="AC415">
        <v>0.1243434431314</v>
      </c>
      <c r="AD415">
        <v>0.12416290251158001</v>
      </c>
      <c r="AE415">
        <v>0.124157392292658</v>
      </c>
      <c r="AF415">
        <v>0.124127727999048</v>
      </c>
      <c r="AG415">
        <v>0.124254247384372</v>
      </c>
      <c r="AH415">
        <v>0.124663372215559</v>
      </c>
      <c r="AI415">
        <v>0.124742886414339</v>
      </c>
      <c r="AJ415">
        <v>0.124857214170144</v>
      </c>
      <c r="AK415">
        <v>0.12519766603144</v>
      </c>
      <c r="AL415">
        <v>0.12569801126250901</v>
      </c>
      <c r="AM415">
        <v>0.126366397366168</v>
      </c>
      <c r="AN415">
        <v>0.12715638050029901</v>
      </c>
      <c r="AO415">
        <v>0.12812430230049399</v>
      </c>
      <c r="AP415">
        <v>0.12929879577095199</v>
      </c>
      <c r="AQ415">
        <v>0.13050993238794001</v>
      </c>
      <c r="AR415">
        <v>0.13193353048550599</v>
      </c>
      <c r="AS415">
        <v>0.13350886486868699</v>
      </c>
    </row>
    <row r="416" spans="1:45" x14ac:dyDescent="0.3">
      <c r="A416" t="s">
        <v>733</v>
      </c>
      <c r="B416" t="s">
        <v>685</v>
      </c>
      <c r="C416" t="s">
        <v>681</v>
      </c>
      <c r="D416" t="s">
        <v>719</v>
      </c>
      <c r="E416" t="s">
        <v>721</v>
      </c>
      <c r="F416">
        <v>88.841380015891403</v>
      </c>
      <c r="G416">
        <v>1.1236499057765501</v>
      </c>
      <c r="H416">
        <v>2.0454370054261601</v>
      </c>
      <c r="I416">
        <v>48.971675395534298</v>
      </c>
      <c r="J416">
        <v>0.14000375440000001</v>
      </c>
      <c r="K416">
        <v>0.1405580471</v>
      </c>
      <c r="L416">
        <v>0.13582626338689199</v>
      </c>
      <c r="M416">
        <v>0.14073870139787401</v>
      </c>
      <c r="N416">
        <v>0.13591461855458001</v>
      </c>
      <c r="O416">
        <v>0.13706818716702601</v>
      </c>
      <c r="P416">
        <v>0.13597484040699401</v>
      </c>
      <c r="Q416">
        <v>0.134940708619985</v>
      </c>
      <c r="R416">
        <v>0.13401997352540199</v>
      </c>
      <c r="S416">
        <v>0.133455410653951</v>
      </c>
      <c r="T416">
        <v>0.13013198882551899</v>
      </c>
      <c r="U416">
        <v>0.12640687969217099</v>
      </c>
      <c r="V416">
        <v>0.123266092414667</v>
      </c>
      <c r="W416">
        <v>0.120569249773041</v>
      </c>
      <c r="X416">
        <v>0.118444483805516</v>
      </c>
      <c r="Y416">
        <v>0.11585849137225999</v>
      </c>
      <c r="Z416">
        <v>0.11344368413458999</v>
      </c>
      <c r="AA416">
        <v>0.110929906037616</v>
      </c>
      <c r="AB416">
        <v>0.10895888901543101</v>
      </c>
      <c r="AC416">
        <v>0.1071490074784</v>
      </c>
      <c r="AD416">
        <v>0.10605864243943</v>
      </c>
      <c r="AE416">
        <v>0.105119828957921</v>
      </c>
      <c r="AF416">
        <v>0.10417881437867001</v>
      </c>
      <c r="AG416">
        <v>0.103396843450865</v>
      </c>
      <c r="AH416">
        <v>0.10288045930953001</v>
      </c>
      <c r="AI416">
        <v>0.102158179180382</v>
      </c>
      <c r="AJ416">
        <v>0.101478003294156</v>
      </c>
      <c r="AK416">
        <v>0.10111083326423199</v>
      </c>
      <c r="AL416">
        <v>0.10116187837943599</v>
      </c>
      <c r="AM416">
        <v>0.101405542217094</v>
      </c>
      <c r="AN416">
        <v>0.10178311867470601</v>
      </c>
      <c r="AO416">
        <v>0.102375523758582</v>
      </c>
      <c r="AP416">
        <v>0.10313059937803</v>
      </c>
      <c r="AQ416">
        <v>0.103912973781777</v>
      </c>
      <c r="AR416">
        <v>0.10486632289185099</v>
      </c>
      <c r="AS416">
        <v>0.105939859274504</v>
      </c>
    </row>
    <row r="417" spans="1:45" x14ac:dyDescent="0.3">
      <c r="A417" t="s">
        <v>733</v>
      </c>
      <c r="B417" t="s">
        <v>684</v>
      </c>
      <c r="C417" t="s">
        <v>681</v>
      </c>
      <c r="D417" t="s">
        <v>719</v>
      </c>
      <c r="E417" t="s">
        <v>721</v>
      </c>
      <c r="F417">
        <v>88.841380015891403</v>
      </c>
      <c r="G417">
        <v>1.1236499057765501</v>
      </c>
      <c r="H417">
        <v>11.609862876236001</v>
      </c>
      <c r="I417">
        <v>285.59011785112801</v>
      </c>
      <c r="J417">
        <v>1.29095641113174E-2</v>
      </c>
      <c r="K417">
        <v>1.31628162724948E-2</v>
      </c>
      <c r="L417">
        <v>1.17962391535408E-2</v>
      </c>
      <c r="M417">
        <v>1.1666977291700501E-2</v>
      </c>
      <c r="N417">
        <v>1.15182500680048E-2</v>
      </c>
      <c r="O417">
        <v>8.1065859013139299E-4</v>
      </c>
      <c r="P417">
        <v>7.4641578511910195E-4</v>
      </c>
      <c r="Q417">
        <v>6.8557650479553005E-4</v>
      </c>
      <c r="R417">
        <v>6.2939701486747701E-4</v>
      </c>
      <c r="S417">
        <v>5.7984401532744205E-4</v>
      </c>
      <c r="T417">
        <v>3.6972716744885499E-3</v>
      </c>
      <c r="U417">
        <v>6.4744768578285502E-3</v>
      </c>
      <c r="V417">
        <v>8.9786353269363604E-3</v>
      </c>
      <c r="W417">
        <v>1.12566422948106E-2</v>
      </c>
      <c r="X417">
        <v>1.33692864424922E-2</v>
      </c>
      <c r="Y417">
        <v>1.5071293227452799E-2</v>
      </c>
      <c r="Z417">
        <v>1.65457976193071E-2</v>
      </c>
      <c r="AA417">
        <v>1.7794895253117501E-2</v>
      </c>
      <c r="AB417">
        <v>1.88413862573748E-2</v>
      </c>
      <c r="AC417">
        <v>1.9699609646929E-2</v>
      </c>
      <c r="AD417">
        <v>2.0811317101973301E-2</v>
      </c>
      <c r="AE417">
        <v>2.18212249675062E-2</v>
      </c>
      <c r="AF417">
        <v>2.26538830183181E-2</v>
      </c>
      <c r="AG417">
        <v>2.3372590233271699E-2</v>
      </c>
      <c r="AH417">
        <v>2.4086161884402098E-2</v>
      </c>
      <c r="AI417">
        <v>2.45048295264929E-2</v>
      </c>
      <c r="AJ417">
        <v>2.5068403442159298E-2</v>
      </c>
      <c r="AK417">
        <v>2.3811476078855101E-2</v>
      </c>
      <c r="AL417">
        <v>2.2733960406091099E-2</v>
      </c>
      <c r="AM417">
        <v>2.18163820007958E-2</v>
      </c>
      <c r="AN417">
        <v>2.10382479955846E-2</v>
      </c>
      <c r="AO417">
        <v>2.0393780338826901E-2</v>
      </c>
      <c r="AP417">
        <v>1.9879343123434201E-2</v>
      </c>
      <c r="AQ417">
        <v>1.9444475837440901E-2</v>
      </c>
      <c r="AR417">
        <v>1.89897080111949E-2</v>
      </c>
      <c r="AS417">
        <v>1.86277936197136E-2</v>
      </c>
    </row>
    <row r="418" spans="1:45" x14ac:dyDescent="0.3">
      <c r="A418" t="s">
        <v>733</v>
      </c>
      <c r="B418" t="s">
        <v>682</v>
      </c>
      <c r="C418" t="s">
        <v>681</v>
      </c>
      <c r="D418" t="s">
        <v>719</v>
      </c>
      <c r="E418" t="s">
        <v>721</v>
      </c>
      <c r="F418">
        <v>88.841380015891403</v>
      </c>
      <c r="G418">
        <v>1.1236499057765501</v>
      </c>
      <c r="H418">
        <v>11.609862876236001</v>
      </c>
      <c r="I418">
        <v>285.59011785112801</v>
      </c>
      <c r="J418">
        <v>1.29120141966922E-2</v>
      </c>
      <c r="K418">
        <v>1.3167776199667599E-2</v>
      </c>
      <c r="L418">
        <v>1.18015246383692E-2</v>
      </c>
      <c r="M418">
        <v>1.16745079926626E-2</v>
      </c>
      <c r="N418">
        <v>1.1526369208343001E-2</v>
      </c>
      <c r="O418">
        <v>8.2026736822328201E-4</v>
      </c>
      <c r="P418">
        <v>7.5671536171110902E-4</v>
      </c>
      <c r="Q418">
        <v>6.9632789830297297E-4</v>
      </c>
      <c r="R418">
        <v>6.4040133717372597E-4</v>
      </c>
      <c r="S418">
        <v>5.9091611178755396E-4</v>
      </c>
      <c r="T418">
        <v>3.6554601282457501E-3</v>
      </c>
      <c r="U418">
        <v>6.3098154867107297E-3</v>
      </c>
      <c r="V418">
        <v>8.6369660884381503E-3</v>
      </c>
      <c r="W418">
        <v>1.0695520738446601E-2</v>
      </c>
      <c r="X418">
        <v>1.2553719262334199E-2</v>
      </c>
      <c r="Y418">
        <v>1.39992387485921E-2</v>
      </c>
      <c r="Z418">
        <v>1.5204273660524801E-2</v>
      </c>
      <c r="AA418">
        <v>1.6182357205245999E-2</v>
      </c>
      <c r="AB418">
        <v>1.69589006515867E-2</v>
      </c>
      <c r="AC418">
        <v>1.75568611530184E-2</v>
      </c>
      <c r="AD418">
        <v>1.8361532681164298E-2</v>
      </c>
      <c r="AE418">
        <v>1.9042760487592E-2</v>
      </c>
      <c r="AF418">
        <v>1.9556256646336999E-2</v>
      </c>
      <c r="AG418">
        <v>1.9967131816306102E-2</v>
      </c>
      <c r="AH418">
        <v>2.03696425096404E-2</v>
      </c>
      <c r="AI418">
        <v>2.05258336997972E-2</v>
      </c>
      <c r="AJ418">
        <v>2.0803085600349099E-2</v>
      </c>
      <c r="AK418">
        <v>1.96101392001044E-2</v>
      </c>
      <c r="AL418">
        <v>1.8663599031156899E-2</v>
      </c>
      <c r="AM418">
        <v>1.78670135898336E-2</v>
      </c>
      <c r="AN418">
        <v>1.7190690694232801E-2</v>
      </c>
      <c r="AO418">
        <v>1.66288795027403E-2</v>
      </c>
      <c r="AP418">
        <v>1.6177427783574599E-2</v>
      </c>
      <c r="AQ418">
        <v>1.5794943249676299E-2</v>
      </c>
      <c r="AR418">
        <v>1.5401039765113299E-2</v>
      </c>
      <c r="AS418">
        <v>1.50824519834731E-2</v>
      </c>
    </row>
    <row r="419" spans="1:45" x14ac:dyDescent="0.3">
      <c r="A419" t="s">
        <v>732</v>
      </c>
      <c r="B419" t="s">
        <v>686</v>
      </c>
      <c r="C419" t="s">
        <v>681</v>
      </c>
      <c r="D419" t="s">
        <v>719</v>
      </c>
      <c r="E419" t="s">
        <v>704</v>
      </c>
      <c r="F419">
        <v>999</v>
      </c>
      <c r="G419">
        <v>0</v>
      </c>
      <c r="H419">
        <v>-21.795495118901201</v>
      </c>
      <c r="I419">
        <v>-410.79651472475001</v>
      </c>
      <c r="J419">
        <v>0.28545821760000001</v>
      </c>
      <c r="K419">
        <v>0.27261435630000003</v>
      </c>
      <c r="L419">
        <v>0.25823186108857099</v>
      </c>
      <c r="M419">
        <v>0.30662675646923099</v>
      </c>
      <c r="N419">
        <v>0.30232254438114298</v>
      </c>
      <c r="O419">
        <v>0.29586844772666698</v>
      </c>
      <c r="P419">
        <v>0.29616660608000001</v>
      </c>
      <c r="Q419">
        <v>0.295982379982275</v>
      </c>
      <c r="R419">
        <v>0.29520050244153401</v>
      </c>
      <c r="S419">
        <v>0.29389272661196603</v>
      </c>
      <c r="T419">
        <v>0.29275180407231699</v>
      </c>
      <c r="U419">
        <v>0.29228938047178599</v>
      </c>
      <c r="V419">
        <v>0.29265162005750001</v>
      </c>
      <c r="W419">
        <v>0.29319570407739698</v>
      </c>
      <c r="X419">
        <v>0.29390757686750002</v>
      </c>
      <c r="Y419">
        <v>0.29467527721333298</v>
      </c>
      <c r="Z419">
        <v>0.29561833528507198</v>
      </c>
      <c r="AA419">
        <v>0.29636747439095201</v>
      </c>
      <c r="AB419">
        <v>0.29690313802428597</v>
      </c>
      <c r="AC419">
        <v>0.29756664066440403</v>
      </c>
      <c r="AD419">
        <v>0.29828685837284602</v>
      </c>
      <c r="AE419">
        <v>0.29891047548636401</v>
      </c>
      <c r="AF419">
        <v>0.29956068578095202</v>
      </c>
      <c r="AG419">
        <v>0.30037576412037298</v>
      </c>
      <c r="AH419">
        <v>0.30126217183855503</v>
      </c>
      <c r="AI419">
        <v>0.30206550025142798</v>
      </c>
      <c r="AJ419">
        <v>0.30289685347870099</v>
      </c>
      <c r="AK419">
        <v>0.30375164655012998</v>
      </c>
      <c r="AL419">
        <v>0.30448790492155797</v>
      </c>
      <c r="AM419">
        <v>0.305176714949697</v>
      </c>
      <c r="AN419">
        <v>0.30583093825922097</v>
      </c>
      <c r="AO419">
        <v>0.306520714487792</v>
      </c>
      <c r="AP419">
        <v>0.30715276368779199</v>
      </c>
      <c r="AQ419">
        <v>0.30774826569428598</v>
      </c>
      <c r="AR419">
        <v>0.30815931149428599</v>
      </c>
      <c r="AS419">
        <v>0.30865064827619099</v>
      </c>
    </row>
    <row r="420" spans="1:45" x14ac:dyDescent="0.3">
      <c r="A420" t="s">
        <v>732</v>
      </c>
      <c r="B420" t="s">
        <v>685</v>
      </c>
      <c r="C420" t="s">
        <v>681</v>
      </c>
      <c r="D420" t="s">
        <v>719</v>
      </c>
      <c r="E420" t="s">
        <v>704</v>
      </c>
      <c r="F420">
        <v>999</v>
      </c>
      <c r="G420">
        <v>0</v>
      </c>
      <c r="H420">
        <v>-21.795495118901201</v>
      </c>
      <c r="I420">
        <v>-410.79651472475001</v>
      </c>
      <c r="J420">
        <v>0.28545821760000001</v>
      </c>
      <c r="K420">
        <v>0.27261435630000003</v>
      </c>
      <c r="L420">
        <v>0.25823186108857099</v>
      </c>
      <c r="M420">
        <v>0.30662675646923099</v>
      </c>
      <c r="N420">
        <v>0.30232254438114298</v>
      </c>
      <c r="O420">
        <v>0.28493005929230703</v>
      </c>
      <c r="P420">
        <v>0.27536823360616203</v>
      </c>
      <c r="Q420">
        <v>0.26584746126117997</v>
      </c>
      <c r="R420">
        <v>0.25628190236134801</v>
      </c>
      <c r="S420">
        <v>0.24675131879664999</v>
      </c>
      <c r="T420">
        <v>0.237821703870743</v>
      </c>
      <c r="U420">
        <v>0.22960799013638</v>
      </c>
      <c r="V420">
        <v>0.22218117563303599</v>
      </c>
      <c r="W420">
        <v>0.21522547235754</v>
      </c>
      <c r="X420">
        <v>0.20872407348907299</v>
      </c>
      <c r="Y420">
        <v>0.20354261243615701</v>
      </c>
      <c r="Z420">
        <v>0.200055653826683</v>
      </c>
      <c r="AA420">
        <v>0.19663226906032599</v>
      </c>
      <c r="AB420">
        <v>0.19325671821453499</v>
      </c>
      <c r="AC420">
        <v>0.190272257996316</v>
      </c>
      <c r="AD420">
        <v>0.18749549344070299</v>
      </c>
      <c r="AE420">
        <v>0.185013720795285</v>
      </c>
      <c r="AF420">
        <v>0.18297956396569301</v>
      </c>
      <c r="AG420">
        <v>0.181109931549265</v>
      </c>
      <c r="AH420">
        <v>0.179668118482674</v>
      </c>
      <c r="AI420">
        <v>0.17949598423194599</v>
      </c>
      <c r="AJ420">
        <v>0.17958093477909101</v>
      </c>
      <c r="AK420">
        <v>0.17968632111914901</v>
      </c>
      <c r="AL420">
        <v>0.179727819534029</v>
      </c>
      <c r="AM420">
        <v>0.179764683546841</v>
      </c>
      <c r="AN420">
        <v>0.17978655199609</v>
      </c>
      <c r="AO420">
        <v>0.17983355673327001</v>
      </c>
      <c r="AP420">
        <v>0.179851262370296</v>
      </c>
      <c r="AQ420">
        <v>0.179852505975681</v>
      </c>
      <c r="AR420">
        <v>0.17975090682699599</v>
      </c>
      <c r="AS420">
        <v>0.17970131785438601</v>
      </c>
    </row>
    <row r="421" spans="1:45" x14ac:dyDescent="0.3">
      <c r="A421" t="s">
        <v>732</v>
      </c>
      <c r="B421" t="s">
        <v>684</v>
      </c>
      <c r="C421" t="s">
        <v>681</v>
      </c>
      <c r="D421" t="s">
        <v>719</v>
      </c>
      <c r="E421" t="s">
        <v>704</v>
      </c>
      <c r="F421">
        <v>999</v>
      </c>
      <c r="G421">
        <v>0</v>
      </c>
      <c r="H421">
        <v>999</v>
      </c>
      <c r="I421">
        <v>999</v>
      </c>
      <c r="J421">
        <v>7.7995769860226996E-4</v>
      </c>
      <c r="K421">
        <v>9.1395738098381803E-4</v>
      </c>
      <c r="L421">
        <v>8.4649675770293302E-4</v>
      </c>
      <c r="M421">
        <v>6.6454383154080602E-4</v>
      </c>
      <c r="N421">
        <v>5.3442637482001201E-4</v>
      </c>
      <c r="O421">
        <v>1.3195676729083101E-16</v>
      </c>
      <c r="P421">
        <v>-3.4517142921686202E-17</v>
      </c>
      <c r="Q421">
        <v>-1.6955891624093099E-16</v>
      </c>
      <c r="R421">
        <v>1.4482066035270699E-16</v>
      </c>
      <c r="S421">
        <v>1.23865902423859E-16</v>
      </c>
      <c r="T421">
        <v>-6.7637301981449106E-17</v>
      </c>
      <c r="U421">
        <v>1.32713466882706E-16</v>
      </c>
      <c r="V421">
        <v>7.6834112405777003E-18</v>
      </c>
      <c r="W421">
        <v>1.7811544239521E-17</v>
      </c>
      <c r="X421">
        <v>1.1641532182693501E-18</v>
      </c>
      <c r="Y421">
        <v>-3.0500814318656902E-17</v>
      </c>
      <c r="Z421">
        <v>-2.3283064365387002E-18</v>
      </c>
      <c r="AA421">
        <v>-5.0757080316543602E-17</v>
      </c>
      <c r="AB421">
        <v>-1.34110450744629E-16</v>
      </c>
      <c r="AC421">
        <v>4.0745362639427202E-17</v>
      </c>
      <c r="AD421">
        <v>-6.7753717303276099E-17</v>
      </c>
      <c r="AE421">
        <v>1.7089769244194001E-16</v>
      </c>
      <c r="AF421">
        <v>-6.3795596361160301E-17</v>
      </c>
      <c r="AG421">
        <v>6.0535967350006103E-17</v>
      </c>
      <c r="AH421">
        <v>0</v>
      </c>
      <c r="AI421">
        <v>-1.3504177331924401E-17</v>
      </c>
      <c r="AJ421">
        <v>8.0093741416931204E-17</v>
      </c>
      <c r="AK421">
        <v>5.8207660913467405E-17</v>
      </c>
      <c r="AL421">
        <v>6.1467289924621602E-17</v>
      </c>
      <c r="AM421">
        <v>6.0535967350006099E-18</v>
      </c>
      <c r="AN421">
        <v>7.5902789831161495E-17</v>
      </c>
      <c r="AO421">
        <v>-2.28174030780792E-17</v>
      </c>
      <c r="AP421">
        <v>1.1594966053962701E-16</v>
      </c>
      <c r="AQ421">
        <v>1.0663643479347201E-16</v>
      </c>
      <c r="AR421">
        <v>-3.0500814318656902E-17</v>
      </c>
      <c r="AS421">
        <v>-6.7986547946929899E-17</v>
      </c>
    </row>
    <row r="422" spans="1:45" x14ac:dyDescent="0.3">
      <c r="A422" t="s">
        <v>732</v>
      </c>
      <c r="B422" t="s">
        <v>682</v>
      </c>
      <c r="C422" t="s">
        <v>681</v>
      </c>
      <c r="D422" t="s">
        <v>719</v>
      </c>
      <c r="E422" t="s">
        <v>704</v>
      </c>
      <c r="F422">
        <v>999</v>
      </c>
      <c r="G422">
        <v>0</v>
      </c>
      <c r="H422">
        <v>999</v>
      </c>
      <c r="I422">
        <v>999</v>
      </c>
      <c r="J422">
        <v>7.5345955310774097E-4</v>
      </c>
      <c r="K422">
        <v>8.7546356974435395E-4</v>
      </c>
      <c r="L422">
        <v>8.0091764729092101E-4</v>
      </c>
      <c r="M422">
        <v>5.94887734683241E-4</v>
      </c>
      <c r="N422">
        <v>4.5740581910591903E-4</v>
      </c>
      <c r="O422">
        <v>-9.97679308056831E-17</v>
      </c>
      <c r="P422">
        <v>5.3667463362217E-17</v>
      </c>
      <c r="Q422">
        <v>-8.0908648669719698E-17</v>
      </c>
      <c r="R422">
        <v>9.2724803835153594E-17</v>
      </c>
      <c r="S422">
        <v>2.77068465948105E-17</v>
      </c>
      <c r="T422">
        <v>1.0826624929904899E-16</v>
      </c>
      <c r="U422">
        <v>6.9849193096160898E-19</v>
      </c>
      <c r="V422">
        <v>9.2200934886932397E-17</v>
      </c>
      <c r="W422">
        <v>4.0163286030292502E-17</v>
      </c>
      <c r="X422">
        <v>-2.4330802261829401E-17</v>
      </c>
      <c r="Y422">
        <v>7.79982656240463E-18</v>
      </c>
      <c r="Z422">
        <v>-5.3434632718563101E-17</v>
      </c>
      <c r="AA422">
        <v>4.41214069724083E-17</v>
      </c>
      <c r="AB422">
        <v>-9.7788870334625303E-18</v>
      </c>
      <c r="AC422">
        <v>8.4983184933662405E-18</v>
      </c>
      <c r="AD422">
        <v>-2.2910535335540802E-16</v>
      </c>
      <c r="AE422">
        <v>3.8649886846542403E-17</v>
      </c>
      <c r="AF422">
        <v>2.5262124836444901E-17</v>
      </c>
      <c r="AG422">
        <v>4.9825757741928103E-17</v>
      </c>
      <c r="AH422">
        <v>1.1373776942491501E-16</v>
      </c>
      <c r="AI422">
        <v>-6.6705979406833705E-17</v>
      </c>
      <c r="AJ422">
        <v>-5.4715201258659398E-18</v>
      </c>
      <c r="AK422">
        <v>-7.9162418842315705E-18</v>
      </c>
      <c r="AL422">
        <v>-5.51808625459671E-17</v>
      </c>
      <c r="AM422">
        <v>2.3283064365386999E-17</v>
      </c>
      <c r="AN422">
        <v>5.33182173967362E-17</v>
      </c>
      <c r="AO422">
        <v>-8.94069671630859E-17</v>
      </c>
      <c r="AP422">
        <v>4.0046870708465602E-17</v>
      </c>
      <c r="AQ422">
        <v>3.4458935260772699E-17</v>
      </c>
      <c r="AR422">
        <v>-1.16182491183281E-16</v>
      </c>
      <c r="AS422">
        <v>-5.0058588385582002E-17</v>
      </c>
    </row>
    <row r="423" spans="1:45" x14ac:dyDescent="0.3">
      <c r="A423" t="s">
        <v>731</v>
      </c>
      <c r="B423" t="s">
        <v>686</v>
      </c>
      <c r="C423" t="s">
        <v>681</v>
      </c>
      <c r="D423" t="s">
        <v>719</v>
      </c>
      <c r="E423" t="s">
        <v>696</v>
      </c>
      <c r="F423">
        <v>999</v>
      </c>
      <c r="G423">
        <v>0</v>
      </c>
      <c r="H423">
        <v>-77.956959016022196</v>
      </c>
      <c r="I423">
        <v>-1469.31496107883</v>
      </c>
      <c r="J423">
        <v>0.20447789890000001</v>
      </c>
      <c r="K423">
        <v>0.18937641960000001</v>
      </c>
      <c r="L423">
        <v>0.17397800488857099</v>
      </c>
      <c r="M423">
        <v>0.221090096069231</v>
      </c>
      <c r="N423">
        <v>0.215630607581143</v>
      </c>
      <c r="O423">
        <v>0.208281018526667</v>
      </c>
      <c r="P423">
        <v>0.20796680238000001</v>
      </c>
      <c r="Q423">
        <v>0.207303899382275</v>
      </c>
      <c r="R423">
        <v>0.206213910741534</v>
      </c>
      <c r="S423">
        <v>0.20472754081196601</v>
      </c>
      <c r="T423">
        <v>0.20336047257231701</v>
      </c>
      <c r="U423">
        <v>0.20242276217178601</v>
      </c>
      <c r="V423">
        <v>0.2020715625575</v>
      </c>
      <c r="W423">
        <v>0.20181315087739701</v>
      </c>
      <c r="X423">
        <v>0.20169351696749999</v>
      </c>
      <c r="Y423">
        <v>0.20159437161333299</v>
      </c>
      <c r="Z423">
        <v>0.20159838528507201</v>
      </c>
      <c r="AA423">
        <v>0.20148254219095199</v>
      </c>
      <c r="AB423">
        <v>0.201204827724286</v>
      </c>
      <c r="AC423">
        <v>0.20103521816440401</v>
      </c>
      <c r="AD423">
        <v>0.20090297997284601</v>
      </c>
      <c r="AE423">
        <v>0.20069585848636401</v>
      </c>
      <c r="AF423">
        <v>0.20053225978095199</v>
      </c>
      <c r="AG423">
        <v>0.20048057552037299</v>
      </c>
      <c r="AH423">
        <v>0.20047505603855401</v>
      </c>
      <c r="AI423">
        <v>0.20040278755142901</v>
      </c>
      <c r="AJ423">
        <v>0.200336280478701</v>
      </c>
      <c r="AK423">
        <v>0.20030798875013001</v>
      </c>
      <c r="AL423">
        <v>0.20020514952155799</v>
      </c>
      <c r="AM423">
        <v>0.200074147049697</v>
      </c>
      <c r="AN423">
        <v>0.19992079395922099</v>
      </c>
      <c r="AO423">
        <v>0.19979415318779201</v>
      </c>
      <c r="AP423">
        <v>0.19960499018779199</v>
      </c>
      <c r="AQ423">
        <v>0.19941743389428601</v>
      </c>
      <c r="AR423">
        <v>0.19910936759428599</v>
      </c>
      <c r="AS423">
        <v>0.19886964647618999</v>
      </c>
    </row>
    <row r="424" spans="1:45" x14ac:dyDescent="0.3">
      <c r="A424" t="s">
        <v>731</v>
      </c>
      <c r="B424" t="s">
        <v>685</v>
      </c>
      <c r="C424" t="s">
        <v>681</v>
      </c>
      <c r="D424" t="s">
        <v>719</v>
      </c>
      <c r="E424" t="s">
        <v>696</v>
      </c>
      <c r="F424">
        <v>999</v>
      </c>
      <c r="G424">
        <v>0</v>
      </c>
      <c r="H424">
        <v>-77.956959016022196</v>
      </c>
      <c r="I424">
        <v>-1469.31496107883</v>
      </c>
      <c r="J424">
        <v>0.20447789890000001</v>
      </c>
      <c r="K424">
        <v>0.18937641960000001</v>
      </c>
      <c r="L424">
        <v>0.17397800488857099</v>
      </c>
      <c r="M424">
        <v>0.221090096069231</v>
      </c>
      <c r="N424">
        <v>0.215630607581143</v>
      </c>
      <c r="O424">
        <v>0.202217861572135</v>
      </c>
      <c r="P424">
        <v>0.19633630510994701</v>
      </c>
      <c r="Q424">
        <v>0.19040761096364101</v>
      </c>
      <c r="R424">
        <v>0.18436922291640601</v>
      </c>
      <c r="S424">
        <v>0.17826126856796901</v>
      </c>
      <c r="T424">
        <v>0.172521621108888</v>
      </c>
      <c r="U424">
        <v>0.16738098676878599</v>
      </c>
      <c r="V424">
        <v>0.16293463620134199</v>
      </c>
      <c r="W424">
        <v>0.15875681590909599</v>
      </c>
      <c r="X424">
        <v>0.15487479969703999</v>
      </c>
      <c r="Y424">
        <v>0.15118252044401401</v>
      </c>
      <c r="Z424">
        <v>0.14773066828607301</v>
      </c>
      <c r="AA424">
        <v>0.14436565966266299</v>
      </c>
      <c r="AB424">
        <v>0.14106200755838</v>
      </c>
      <c r="AC424">
        <v>0.13808632046382199</v>
      </c>
      <c r="AD424">
        <v>0.13530087707781099</v>
      </c>
      <c r="AE424">
        <v>0.13261548629891801</v>
      </c>
      <c r="AF424">
        <v>0.13010925388151101</v>
      </c>
      <c r="AG424">
        <v>0.12773836837661801</v>
      </c>
      <c r="AH424">
        <v>0.12577336602651201</v>
      </c>
      <c r="AI424">
        <v>0.125035988925878</v>
      </c>
      <c r="AJ424">
        <v>0.124521534082272</v>
      </c>
      <c r="AK424">
        <v>0.124043588346034</v>
      </c>
      <c r="AL424">
        <v>0.123530376371011</v>
      </c>
      <c r="AM424">
        <v>0.12302059179954</v>
      </c>
      <c r="AN424">
        <v>0.12250723725820099</v>
      </c>
      <c r="AO424">
        <v>0.12201993914484199</v>
      </c>
      <c r="AP424">
        <v>0.121503751459522</v>
      </c>
      <c r="AQ424">
        <v>0.12099694827820701</v>
      </c>
      <c r="AR424">
        <v>0.12042928095437801</v>
      </c>
      <c r="AS424">
        <v>0.11990863134488999</v>
      </c>
    </row>
    <row r="425" spans="1:45" x14ac:dyDescent="0.3">
      <c r="A425" t="s">
        <v>731</v>
      </c>
      <c r="B425" t="s">
        <v>684</v>
      </c>
      <c r="C425" t="s">
        <v>681</v>
      </c>
      <c r="D425" t="s">
        <v>719</v>
      </c>
      <c r="E425" t="s">
        <v>696</v>
      </c>
      <c r="F425">
        <v>999</v>
      </c>
      <c r="G425">
        <v>0</v>
      </c>
      <c r="H425">
        <v>-2111.0792542403601</v>
      </c>
      <c r="I425">
        <v>-39789.139692338002</v>
      </c>
      <c r="J425">
        <v>7.7995769860245297E-4</v>
      </c>
      <c r="K425">
        <v>9.1395738098369497E-4</v>
      </c>
      <c r="L425">
        <v>8.4649675770287198E-4</v>
      </c>
      <c r="M425">
        <v>6.6454383154078E-4</v>
      </c>
      <c r="N425">
        <v>5.3442637482010102E-4</v>
      </c>
      <c r="O425">
        <v>4.0057920101656203E-3</v>
      </c>
      <c r="P425">
        <v>3.7723101243998902E-3</v>
      </c>
      <c r="Q425">
        <v>3.5218650045181999E-3</v>
      </c>
      <c r="R425">
        <v>3.28476076032631E-3</v>
      </c>
      <c r="S425">
        <v>3.0976018586991402E-3</v>
      </c>
      <c r="T425">
        <v>2.9546045390464099E-3</v>
      </c>
      <c r="U425">
        <v>2.8446893264017698E-3</v>
      </c>
      <c r="V425">
        <v>2.7672596370788799E-3</v>
      </c>
      <c r="W425">
        <v>2.7149864709198899E-3</v>
      </c>
      <c r="X425">
        <v>2.6863453892026E-3</v>
      </c>
      <c r="Y425">
        <v>2.6962594899213898E-3</v>
      </c>
      <c r="Z425">
        <v>2.7517602279178901E-3</v>
      </c>
      <c r="AA425">
        <v>2.8562029200583502E-3</v>
      </c>
      <c r="AB425">
        <v>2.9682697965728701E-3</v>
      </c>
      <c r="AC425">
        <v>3.11747077446747E-3</v>
      </c>
      <c r="AD425">
        <v>3.3112605699038701E-3</v>
      </c>
      <c r="AE425">
        <v>3.4926054891756498E-3</v>
      </c>
      <c r="AF425">
        <v>3.8786658109423999E-3</v>
      </c>
      <c r="AG425">
        <v>4.3638481466149901E-3</v>
      </c>
      <c r="AH425">
        <v>4.9950220308141204E-3</v>
      </c>
      <c r="AI425">
        <v>5.8149981322373999E-3</v>
      </c>
      <c r="AJ425">
        <v>6.9226615836010799E-3</v>
      </c>
      <c r="AK425">
        <v>8.7331938852228293E-3</v>
      </c>
      <c r="AL425">
        <v>9.1113076334871802E-3</v>
      </c>
      <c r="AM425">
        <v>8.3428694687323803E-3</v>
      </c>
      <c r="AN425">
        <v>7.2859409647734403E-3</v>
      </c>
      <c r="AO425">
        <v>6.4925388840624898E-3</v>
      </c>
      <c r="AP425">
        <v>5.7625042811679204E-3</v>
      </c>
      <c r="AQ425">
        <v>5.1935758482766102E-3</v>
      </c>
      <c r="AR425">
        <v>4.6796186818596599E-3</v>
      </c>
      <c r="AS425">
        <v>3.9733272597337202E-3</v>
      </c>
    </row>
    <row r="426" spans="1:45" x14ac:dyDescent="0.3">
      <c r="A426" t="s">
        <v>731</v>
      </c>
      <c r="B426" t="s">
        <v>682</v>
      </c>
      <c r="C426" t="s">
        <v>681</v>
      </c>
      <c r="D426" t="s">
        <v>719</v>
      </c>
      <c r="E426" t="s">
        <v>696</v>
      </c>
      <c r="F426">
        <v>999</v>
      </c>
      <c r="G426">
        <v>0</v>
      </c>
      <c r="H426">
        <v>-2111.0792542403601</v>
      </c>
      <c r="I426">
        <v>-39789.139692338002</v>
      </c>
      <c r="J426">
        <v>7.5345955310792399E-4</v>
      </c>
      <c r="K426">
        <v>8.7546356974423003E-4</v>
      </c>
      <c r="L426">
        <v>8.0091764729085899E-4</v>
      </c>
      <c r="M426">
        <v>5.9488773468321498E-4</v>
      </c>
      <c r="N426">
        <v>4.5740581910600902E-4</v>
      </c>
      <c r="O426">
        <v>3.2416833283142399E-3</v>
      </c>
      <c r="P426">
        <v>2.7131642282351202E-3</v>
      </c>
      <c r="Q426">
        <v>2.2004433686481301E-3</v>
      </c>
      <c r="R426">
        <v>1.73547949913129E-3</v>
      </c>
      <c r="S426">
        <v>1.3569132112304699E-3</v>
      </c>
      <c r="T426">
        <v>1.0440363597177199E-3</v>
      </c>
      <c r="U426">
        <v>7.8639833108876101E-4</v>
      </c>
      <c r="V426">
        <v>5.7984489807067895E-4</v>
      </c>
      <c r="W426">
        <v>4.1954740156931397E-4</v>
      </c>
      <c r="X426">
        <v>3.0315128478412102E-4</v>
      </c>
      <c r="Y426">
        <v>2.3217370951053701E-4</v>
      </c>
      <c r="Z426">
        <v>2.0477239684876599E-4</v>
      </c>
      <c r="AA426">
        <v>2.33483276107839E-4</v>
      </c>
      <c r="AB426">
        <v>2.8858471357806902E-4</v>
      </c>
      <c r="AC426">
        <v>4.5663811744243998E-4</v>
      </c>
      <c r="AD426">
        <v>6.7102092095920802E-4</v>
      </c>
      <c r="AE426">
        <v>8.91367530212097E-4</v>
      </c>
      <c r="AF426">
        <v>1.27993020785517E-3</v>
      </c>
      <c r="AG426">
        <v>1.7432299024154399E-3</v>
      </c>
      <c r="AH426">
        <v>2.3284164353644401E-3</v>
      </c>
      <c r="AI426">
        <v>3.0318878251187E-3</v>
      </c>
      <c r="AJ426">
        <v>3.9411316054750803E-3</v>
      </c>
      <c r="AK426">
        <v>5.3855961524881396E-3</v>
      </c>
      <c r="AL426">
        <v>5.8029712120547796E-3</v>
      </c>
      <c r="AM426">
        <v>5.40617044797914E-3</v>
      </c>
      <c r="AN426">
        <v>4.7860097128361104E-3</v>
      </c>
      <c r="AO426">
        <v>4.3434598825265198E-3</v>
      </c>
      <c r="AP426">
        <v>3.95518169386333E-3</v>
      </c>
      <c r="AQ426">
        <v>3.6738106454887098E-3</v>
      </c>
      <c r="AR426">
        <v>3.43215441715071E-3</v>
      </c>
      <c r="AS426">
        <v>3.0502784942167201E-3</v>
      </c>
    </row>
    <row r="427" spans="1:45" x14ac:dyDescent="0.3">
      <c r="A427" t="s">
        <v>730</v>
      </c>
      <c r="B427" t="s">
        <v>686</v>
      </c>
      <c r="C427" t="s">
        <v>681</v>
      </c>
      <c r="D427" t="s">
        <v>719</v>
      </c>
      <c r="E427" t="s">
        <v>22</v>
      </c>
      <c r="F427">
        <v>3.8847635781199301</v>
      </c>
      <c r="G427">
        <v>10.057431598435899</v>
      </c>
      <c r="H427">
        <v>11.695783534644599</v>
      </c>
      <c r="I427">
        <v>220.439457181248</v>
      </c>
      <c r="J427">
        <v>8.0980318699999998E-2</v>
      </c>
      <c r="K427">
        <v>8.3237936700000001E-2</v>
      </c>
      <c r="L427">
        <v>8.4253856200000005E-2</v>
      </c>
      <c r="M427">
        <v>8.5536660400000006E-2</v>
      </c>
      <c r="N427">
        <v>8.6691936799999994E-2</v>
      </c>
      <c r="O427">
        <v>8.7587429199999997E-2</v>
      </c>
      <c r="P427">
        <v>8.8199803699999996E-2</v>
      </c>
      <c r="Q427">
        <v>8.8678480599999998E-2</v>
      </c>
      <c r="R427">
        <v>8.8986591700000006E-2</v>
      </c>
      <c r="S427">
        <v>8.9165185800000005E-2</v>
      </c>
      <c r="T427">
        <v>8.9391331500000004E-2</v>
      </c>
      <c r="U427">
        <v>8.9866618300000006E-2</v>
      </c>
      <c r="V427">
        <v>9.0580057500000005E-2</v>
      </c>
      <c r="W427">
        <v>9.1382553199999994E-2</v>
      </c>
      <c r="X427">
        <v>9.2214059900000006E-2</v>
      </c>
      <c r="Y427">
        <v>9.30809056E-2</v>
      </c>
      <c r="Z427">
        <v>9.4019950000000005E-2</v>
      </c>
      <c r="AA427">
        <v>9.4884932199999994E-2</v>
      </c>
      <c r="AB427">
        <v>9.5698310300000006E-2</v>
      </c>
      <c r="AC427">
        <v>9.6531422500000005E-2</v>
      </c>
      <c r="AD427">
        <v>9.7383878399999999E-2</v>
      </c>
      <c r="AE427">
        <v>9.8214617000000004E-2</v>
      </c>
      <c r="AF427">
        <v>9.9028426000000003E-2</v>
      </c>
      <c r="AG427">
        <v>9.9895188600000004E-2</v>
      </c>
      <c r="AH427">
        <v>0.10078711579999999</v>
      </c>
      <c r="AI427">
        <v>0.1016627127</v>
      </c>
      <c r="AJ427">
        <v>0.102560573</v>
      </c>
      <c r="AK427">
        <v>0.10344365780000001</v>
      </c>
      <c r="AL427">
        <v>0.1042827554</v>
      </c>
      <c r="AM427">
        <v>0.1051025679</v>
      </c>
      <c r="AN427">
        <v>0.10591014429999999</v>
      </c>
      <c r="AO427">
        <v>0.10672656129999999</v>
      </c>
      <c r="AP427">
        <v>0.1075477735</v>
      </c>
      <c r="AQ427">
        <v>0.1083308318</v>
      </c>
      <c r="AR427">
        <v>0.1090499439</v>
      </c>
      <c r="AS427">
        <v>0.1097810018</v>
      </c>
    </row>
    <row r="428" spans="1:45" x14ac:dyDescent="0.3">
      <c r="A428" t="s">
        <v>730</v>
      </c>
      <c r="B428" t="s">
        <v>685</v>
      </c>
      <c r="C428" t="s">
        <v>681</v>
      </c>
      <c r="D428" t="s">
        <v>719</v>
      </c>
      <c r="E428" t="s">
        <v>22</v>
      </c>
      <c r="F428">
        <v>3.8847635781199301</v>
      </c>
      <c r="G428">
        <v>10.057431598435899</v>
      </c>
      <c r="H428">
        <v>11.695783534644599</v>
      </c>
      <c r="I428">
        <v>220.439457181248</v>
      </c>
      <c r="J428">
        <v>8.0980318699999998E-2</v>
      </c>
      <c r="K428">
        <v>8.3237936700000001E-2</v>
      </c>
      <c r="L428">
        <v>8.4253856200000005E-2</v>
      </c>
      <c r="M428">
        <v>8.5536660400000006E-2</v>
      </c>
      <c r="N428">
        <v>8.6691936799999994E-2</v>
      </c>
      <c r="O428">
        <v>8.2134833781197306E-2</v>
      </c>
      <c r="P428">
        <v>7.7943199513831593E-2</v>
      </c>
      <c r="Q428">
        <v>7.3843424728882001E-2</v>
      </c>
      <c r="R428">
        <v>6.9813620604986096E-2</v>
      </c>
      <c r="S428">
        <v>6.5894821247759403E-2</v>
      </c>
      <c r="T428">
        <v>6.2211228009962503E-2</v>
      </c>
      <c r="U428">
        <v>5.8579238431558399E-2</v>
      </c>
      <c r="V428">
        <v>5.4978245060899898E-2</v>
      </c>
      <c r="W428">
        <v>5.1577428295541197E-2</v>
      </c>
      <c r="X428">
        <v>4.8337776721232101E-2</v>
      </c>
      <c r="Y428">
        <v>4.6475832050580097E-2</v>
      </c>
      <c r="Z428">
        <v>4.6399423965349199E-2</v>
      </c>
      <c r="AA428">
        <v>4.6288030507595598E-2</v>
      </c>
      <c r="AB428">
        <v>4.6153473790816503E-2</v>
      </c>
      <c r="AC428">
        <v>4.6030274762490303E-2</v>
      </c>
      <c r="AD428">
        <v>4.5917427111469497E-2</v>
      </c>
      <c r="AE428">
        <v>4.6041766592597101E-2</v>
      </c>
      <c r="AF428">
        <v>4.6502921351687002E-2</v>
      </c>
      <c r="AG428">
        <v>4.6985949543629703E-2</v>
      </c>
      <c r="AH428">
        <v>4.7477775124084201E-2</v>
      </c>
      <c r="AI428">
        <v>4.7958865847132097E-2</v>
      </c>
      <c r="AJ428">
        <v>4.8447398479542297E-2</v>
      </c>
      <c r="AK428">
        <v>4.8925916282026E-2</v>
      </c>
      <c r="AL428">
        <v>4.9380610636094398E-2</v>
      </c>
      <c r="AM428">
        <v>4.9823171416961701E-2</v>
      </c>
      <c r="AN428">
        <v>5.0257003960104997E-2</v>
      </c>
      <c r="AO428">
        <v>5.0692214508007601E-2</v>
      </c>
      <c r="AP428">
        <v>5.1126976355522297E-2</v>
      </c>
      <c r="AQ428">
        <v>5.15410243902523E-2</v>
      </c>
      <c r="AR428">
        <v>5.1922100430226402E-2</v>
      </c>
      <c r="AS428">
        <v>5.2306463761641199E-2</v>
      </c>
    </row>
    <row r="429" spans="1:45" x14ac:dyDescent="0.3">
      <c r="A429" t="s">
        <v>730</v>
      </c>
      <c r="B429" t="s">
        <v>684</v>
      </c>
      <c r="C429" t="s">
        <v>681</v>
      </c>
      <c r="D429" t="s">
        <v>719</v>
      </c>
      <c r="E429" t="s">
        <v>22</v>
      </c>
      <c r="F429">
        <v>3.8847635781199301</v>
      </c>
      <c r="G429">
        <v>10.057431598435899</v>
      </c>
      <c r="H429">
        <v>999</v>
      </c>
      <c r="I429">
        <v>999</v>
      </c>
      <c r="J429">
        <v>1.4915713109076E-17</v>
      </c>
      <c r="K429">
        <v>5.1513779908418697E-18</v>
      </c>
      <c r="L429">
        <v>-1.8626451492309598E-18</v>
      </c>
      <c r="M429">
        <v>4.0745362639427198E-19</v>
      </c>
      <c r="N429">
        <v>-2.1187588572502101E-17</v>
      </c>
      <c r="O429">
        <v>9.0221874415874496E-18</v>
      </c>
      <c r="P429">
        <v>2.27009877562523E-18</v>
      </c>
      <c r="Q429">
        <v>9.7206793725490601E-18</v>
      </c>
      <c r="R429">
        <v>-7.4505805969238301E-18</v>
      </c>
      <c r="S429">
        <v>9.31322574615479E-18</v>
      </c>
      <c r="T429">
        <v>-8.9639797806739793E-18</v>
      </c>
      <c r="U429">
        <v>-2.7939677238464402E-18</v>
      </c>
      <c r="V429">
        <v>1.37370079755783E-17</v>
      </c>
      <c r="W429">
        <v>1.7811544239521E-17</v>
      </c>
      <c r="X429">
        <v>-5.8207660913467397E-18</v>
      </c>
      <c r="Y429">
        <v>1.6298145055770901E-18</v>
      </c>
      <c r="Z429">
        <v>-3.16649675369263E-17</v>
      </c>
      <c r="AA429">
        <v>-3.2596290111541801E-18</v>
      </c>
      <c r="AB429">
        <v>1.1175870895385701E-17</v>
      </c>
      <c r="AC429">
        <v>-3.4691765904426599E-17</v>
      </c>
      <c r="AD429">
        <v>-1.8393620848655699E-17</v>
      </c>
      <c r="AE429">
        <v>-5.1222741603851299E-18</v>
      </c>
      <c r="AF429">
        <v>-6.5192580223083502E-18</v>
      </c>
      <c r="AG429">
        <v>9.31322574615479E-18</v>
      </c>
      <c r="AH429">
        <v>5.1222741603851299E-18</v>
      </c>
      <c r="AI429">
        <v>2.09547579288483E-17</v>
      </c>
      <c r="AJ429">
        <v>-2.7939677238464402E-18</v>
      </c>
      <c r="AK429">
        <v>1.1641532182693499E-17</v>
      </c>
      <c r="AL429">
        <v>9.3132257461547896E-19</v>
      </c>
      <c r="AM429">
        <v>1.02445483207703E-17</v>
      </c>
      <c r="AN429">
        <v>-2.23517417907715E-17</v>
      </c>
      <c r="AO429">
        <v>1.3969838619232201E-18</v>
      </c>
      <c r="AP429">
        <v>1.9557774066925101E-17</v>
      </c>
      <c r="AQ429">
        <v>3.9581209421157803E-17</v>
      </c>
      <c r="AR429">
        <v>1.6298145055770901E-18</v>
      </c>
      <c r="AS429">
        <v>-1.8626451492309602E-17</v>
      </c>
    </row>
    <row r="430" spans="1:45" x14ac:dyDescent="0.3">
      <c r="A430" t="s">
        <v>730</v>
      </c>
      <c r="B430" t="s">
        <v>682</v>
      </c>
      <c r="C430" t="s">
        <v>681</v>
      </c>
      <c r="D430" t="s">
        <v>719</v>
      </c>
      <c r="E430" t="s">
        <v>22</v>
      </c>
      <c r="F430">
        <v>3.8847635781199301</v>
      </c>
      <c r="G430">
        <v>10.057431598435899</v>
      </c>
      <c r="H430">
        <v>999</v>
      </c>
      <c r="I430">
        <v>999</v>
      </c>
      <c r="J430">
        <v>1.4915713109076E-17</v>
      </c>
      <c r="K430">
        <v>5.1513779908418697E-18</v>
      </c>
      <c r="L430">
        <v>-1.8626451492309598E-18</v>
      </c>
      <c r="M430">
        <v>4.0745362639427198E-19</v>
      </c>
      <c r="N430">
        <v>-2.1187588572502101E-17</v>
      </c>
      <c r="O430">
        <v>1.00117176771164E-17</v>
      </c>
      <c r="P430">
        <v>6.9267116487026203E-18</v>
      </c>
      <c r="Q430">
        <v>-1.02445483207703E-17</v>
      </c>
      <c r="R430">
        <v>-7.2759576141834302E-18</v>
      </c>
      <c r="S430">
        <v>-7.4505805969238301E-18</v>
      </c>
      <c r="T430">
        <v>-1.05355866253376E-17</v>
      </c>
      <c r="U430">
        <v>1.05937942862511E-17</v>
      </c>
      <c r="V430">
        <v>9.31322574615479E-18</v>
      </c>
      <c r="W430">
        <v>-1.4086253941059098E-17</v>
      </c>
      <c r="X430">
        <v>-1.3969838619232201E-18</v>
      </c>
      <c r="Y430">
        <v>-8.4983184933662405E-18</v>
      </c>
      <c r="Z430">
        <v>-3.14321368932724E-18</v>
      </c>
      <c r="AA430">
        <v>-2.9103830456733698E-18</v>
      </c>
      <c r="AB430">
        <v>5.8207660913467399E-19</v>
      </c>
      <c r="AC430">
        <v>1.3969838619232201E-18</v>
      </c>
      <c r="AD430">
        <v>-1.1641532182693499E-19</v>
      </c>
      <c r="AE430">
        <v>-1.2689270079135901E-17</v>
      </c>
      <c r="AF430">
        <v>-1.9790604710578899E-18</v>
      </c>
      <c r="AG430">
        <v>-5.9371814131736802E-18</v>
      </c>
      <c r="AH430">
        <v>1.17579475045204E-17</v>
      </c>
      <c r="AI430">
        <v>4.6566128730773904E-18</v>
      </c>
      <c r="AJ430">
        <v>-3.9581209421157798E-18</v>
      </c>
      <c r="AK430">
        <v>8.1490725278854397E-19</v>
      </c>
      <c r="AL430">
        <v>6.9849193096160898E-18</v>
      </c>
      <c r="AM430">
        <v>8.1490725278854397E-19</v>
      </c>
      <c r="AN430">
        <v>2.56113708019257E-18</v>
      </c>
      <c r="AO430">
        <v>-5.5879354476928703E-18</v>
      </c>
      <c r="AP430">
        <v>3.0267983675003099E-18</v>
      </c>
      <c r="AQ430">
        <v>2.7939677238464402E-18</v>
      </c>
      <c r="AR430">
        <v>3.14321368932724E-18</v>
      </c>
      <c r="AS430">
        <v>6.9849193096160898E-19</v>
      </c>
    </row>
    <row r="431" spans="1:45" x14ac:dyDescent="0.3">
      <c r="A431" t="s">
        <v>729</v>
      </c>
      <c r="B431" t="s">
        <v>686</v>
      </c>
      <c r="C431" t="s">
        <v>681</v>
      </c>
      <c r="D431" t="s">
        <v>719</v>
      </c>
      <c r="E431" t="s">
        <v>22</v>
      </c>
      <c r="F431">
        <v>999</v>
      </c>
      <c r="G431">
        <v>0</v>
      </c>
      <c r="H431">
        <v>-454.54233669872502</v>
      </c>
      <c r="I431">
        <v>-11181.251741726101</v>
      </c>
      <c r="J431">
        <v>1.6997072700000001E-2</v>
      </c>
      <c r="K431">
        <v>1.6789534799999999E-2</v>
      </c>
      <c r="L431">
        <v>1.6415748160014201E-2</v>
      </c>
      <c r="M431">
        <v>1.6050723877983199E-2</v>
      </c>
      <c r="N431">
        <v>1.5634331772947999E-2</v>
      </c>
      <c r="O431">
        <v>1.5300191426475099E-2</v>
      </c>
      <c r="P431">
        <v>1.49143074938643E-2</v>
      </c>
      <c r="Q431">
        <v>1.4597436136620401E-2</v>
      </c>
      <c r="R431">
        <v>1.4323737594843599E-2</v>
      </c>
      <c r="S431">
        <v>1.40855282114922E-2</v>
      </c>
      <c r="T431">
        <v>1.3801246255147901E-2</v>
      </c>
      <c r="U431">
        <v>1.35421574085842E-2</v>
      </c>
      <c r="V431">
        <v>1.33261130960652E-2</v>
      </c>
      <c r="W431">
        <v>1.3138393757535199E-2</v>
      </c>
      <c r="X431">
        <v>1.3001617950020999E-2</v>
      </c>
      <c r="Y431">
        <v>1.2856922671901701E-2</v>
      </c>
      <c r="Z431">
        <v>1.26988252467835E-2</v>
      </c>
      <c r="AA431">
        <v>1.2499616636162499E-2</v>
      </c>
      <c r="AB431">
        <v>1.2344048338424601E-2</v>
      </c>
      <c r="AC431">
        <v>1.21802474839689E-2</v>
      </c>
      <c r="AD431">
        <v>1.2040225808490001E-2</v>
      </c>
      <c r="AE431">
        <v>1.1909890676133E-2</v>
      </c>
      <c r="AF431">
        <v>1.1758127164559999E-2</v>
      </c>
      <c r="AG431">
        <v>1.1622495586427599E-2</v>
      </c>
      <c r="AH431">
        <v>1.14971240960674E-2</v>
      </c>
      <c r="AI431">
        <v>1.13824876159342E-2</v>
      </c>
      <c r="AJ431">
        <v>1.12537249056208E-2</v>
      </c>
      <c r="AK431">
        <v>1.1132426140688E-2</v>
      </c>
      <c r="AL431">
        <v>1.1014817974925799E-2</v>
      </c>
      <c r="AM431">
        <v>1.09019191828316E-2</v>
      </c>
      <c r="AN431">
        <v>1.07889471269321E-2</v>
      </c>
      <c r="AO431">
        <v>1.0681308640024201E-2</v>
      </c>
      <c r="AP431">
        <v>1.0578809997944E-2</v>
      </c>
      <c r="AQ431">
        <v>1.0471071103501499E-2</v>
      </c>
      <c r="AR431">
        <v>1.0379238381050201E-2</v>
      </c>
      <c r="AS431">
        <v>1.0280477713879599E-2</v>
      </c>
    </row>
    <row r="432" spans="1:45" x14ac:dyDescent="0.3">
      <c r="A432" t="s">
        <v>729</v>
      </c>
      <c r="B432" t="s">
        <v>685</v>
      </c>
      <c r="C432" t="s">
        <v>681</v>
      </c>
      <c r="D432" t="s">
        <v>719</v>
      </c>
      <c r="E432" t="s">
        <v>22</v>
      </c>
      <c r="F432">
        <v>999</v>
      </c>
      <c r="G432">
        <v>0</v>
      </c>
      <c r="H432">
        <v>-454.54233669872502</v>
      </c>
      <c r="I432">
        <v>-11181.251741726101</v>
      </c>
      <c r="J432">
        <v>1.6997072700000001E-2</v>
      </c>
      <c r="K432">
        <v>1.6789534799999999E-2</v>
      </c>
      <c r="L432">
        <v>1.6415748160014201E-2</v>
      </c>
      <c r="M432">
        <v>1.6050723877983199E-2</v>
      </c>
      <c r="N432">
        <v>1.5634331772947999E-2</v>
      </c>
      <c r="O432">
        <v>1.42840830123075E-2</v>
      </c>
      <c r="P432">
        <v>1.30771111306627E-2</v>
      </c>
      <c r="Q432">
        <v>1.20273323747209E-2</v>
      </c>
      <c r="R432">
        <v>1.1090340744941699E-2</v>
      </c>
      <c r="S432">
        <v>1.02555027258908E-2</v>
      </c>
      <c r="T432">
        <v>9.4503852230956205E-3</v>
      </c>
      <c r="U432">
        <v>8.7249729017207494E-3</v>
      </c>
      <c r="V432">
        <v>8.0403648395556294E-3</v>
      </c>
      <c r="W432">
        <v>7.3933229839784004E-3</v>
      </c>
      <c r="X432">
        <v>6.81893382862017E-3</v>
      </c>
      <c r="Y432">
        <v>6.2856173279507701E-3</v>
      </c>
      <c r="Z432">
        <v>5.8806812051783201E-3</v>
      </c>
      <c r="AA432">
        <v>5.7064717970166101E-3</v>
      </c>
      <c r="AB432">
        <v>5.5607999534241703E-3</v>
      </c>
      <c r="AC432">
        <v>5.4145844787653798E-3</v>
      </c>
      <c r="AD432">
        <v>5.2866019773604297E-3</v>
      </c>
      <c r="AE432">
        <v>5.1628423611012504E-3</v>
      </c>
      <c r="AF432">
        <v>5.0471695412156398E-3</v>
      </c>
      <c r="AG432">
        <v>4.9772544639621096E-3</v>
      </c>
      <c r="AH432">
        <v>4.9546802810745E-3</v>
      </c>
      <c r="AI432">
        <v>4.9317136316845301E-3</v>
      </c>
      <c r="AJ432">
        <v>4.9030405581494997E-3</v>
      </c>
      <c r="AK432">
        <v>4.8702864594054301E-3</v>
      </c>
      <c r="AL432">
        <v>4.8418439955872803E-3</v>
      </c>
      <c r="AM432">
        <v>4.8154706141200999E-3</v>
      </c>
      <c r="AN432">
        <v>4.7875316076444402E-3</v>
      </c>
      <c r="AO432">
        <v>4.7596752063373401E-3</v>
      </c>
      <c r="AP432">
        <v>4.73312989621866E-3</v>
      </c>
      <c r="AQ432">
        <v>4.7033472229432299E-3</v>
      </c>
      <c r="AR432">
        <v>4.6809084953299204E-3</v>
      </c>
      <c r="AS432">
        <v>4.6549109543739704E-3</v>
      </c>
    </row>
    <row r="433" spans="1:45" x14ac:dyDescent="0.3">
      <c r="A433" t="s">
        <v>729</v>
      </c>
      <c r="B433" t="s">
        <v>684</v>
      </c>
      <c r="C433" t="s">
        <v>681</v>
      </c>
      <c r="D433" t="s">
        <v>719</v>
      </c>
      <c r="E433" t="s">
        <v>22</v>
      </c>
      <c r="F433">
        <v>999</v>
      </c>
      <c r="G433">
        <v>0</v>
      </c>
      <c r="H433">
        <v>999</v>
      </c>
      <c r="I433">
        <v>999</v>
      </c>
      <c r="J433">
        <v>2.83284545E-3</v>
      </c>
      <c r="K433">
        <v>1.9208528101444201E-18</v>
      </c>
      <c r="L433">
        <v>-2.6229827199131299E-18</v>
      </c>
      <c r="M433">
        <v>-1.34605215862393E-18</v>
      </c>
      <c r="N433">
        <v>3.3542164601385598E-18</v>
      </c>
      <c r="O433">
        <v>-2.6702764444053199E-18</v>
      </c>
      <c r="P433">
        <v>1.9208528101444201E-18</v>
      </c>
      <c r="Q433">
        <v>-1.0550138540565999E-18</v>
      </c>
      <c r="R433">
        <v>6.1700120568275503E-18</v>
      </c>
      <c r="S433">
        <v>-1.74622982740402E-19</v>
      </c>
      <c r="T433">
        <v>-2.1100277081131899E-18</v>
      </c>
      <c r="U433">
        <v>1.04773789644241E-18</v>
      </c>
      <c r="V433">
        <v>2.6484485715627699E-18</v>
      </c>
      <c r="W433">
        <v>8.8766682893037801E-19</v>
      </c>
      <c r="X433">
        <v>2.895831130445E-18</v>
      </c>
      <c r="Y433">
        <v>1.2514647096395501E-18</v>
      </c>
      <c r="Z433">
        <v>-6.0390448197722404E-18</v>
      </c>
      <c r="AA433">
        <v>1.3969838619232201E-18</v>
      </c>
      <c r="AB433">
        <v>-2.13913153856993E-18</v>
      </c>
      <c r="AC433">
        <v>-8.2509359344840101E-18</v>
      </c>
      <c r="AD433">
        <v>-3.27418092638254E-18</v>
      </c>
      <c r="AE433">
        <v>-2.7066562324762302E-18</v>
      </c>
      <c r="AF433">
        <v>4.1036400943994501E-18</v>
      </c>
      <c r="AG433">
        <v>-1.6298145055770901E-18</v>
      </c>
      <c r="AH433">
        <v>-2.38651409745216E-18</v>
      </c>
      <c r="AI433">
        <v>-1.8626451492309598E-18</v>
      </c>
      <c r="AJ433">
        <v>-6.8685039877891501E-18</v>
      </c>
      <c r="AK433">
        <v>-8.4401108324527697E-19</v>
      </c>
      <c r="AL433">
        <v>7.21774995326996E-18</v>
      </c>
      <c r="AM433">
        <v>3.60887497663498E-18</v>
      </c>
      <c r="AN433">
        <v>5.5006239563226703E-18</v>
      </c>
      <c r="AO433">
        <v>-5.9662852436304097E-19</v>
      </c>
      <c r="AP433">
        <v>9.3132257461547896E-19</v>
      </c>
      <c r="AQ433">
        <v>8.1490725278854397E-19</v>
      </c>
      <c r="AR433">
        <v>-9.6042640507221196E-18</v>
      </c>
      <c r="AS433">
        <v>6.83940015733242E-19</v>
      </c>
    </row>
    <row r="434" spans="1:45" x14ac:dyDescent="0.3">
      <c r="A434" t="s">
        <v>729</v>
      </c>
      <c r="B434" t="s">
        <v>682</v>
      </c>
      <c r="C434" t="s">
        <v>681</v>
      </c>
      <c r="D434" t="s">
        <v>719</v>
      </c>
      <c r="E434" t="s">
        <v>22</v>
      </c>
      <c r="F434">
        <v>999</v>
      </c>
      <c r="G434">
        <v>0</v>
      </c>
      <c r="H434">
        <v>999</v>
      </c>
      <c r="I434">
        <v>999</v>
      </c>
      <c r="J434">
        <v>2.83284545E-3</v>
      </c>
      <c r="K434">
        <v>1.9208528101444201E-18</v>
      </c>
      <c r="L434">
        <v>-2.6229827199131299E-18</v>
      </c>
      <c r="M434">
        <v>-1.34605215862393E-18</v>
      </c>
      <c r="N434">
        <v>3.3542164601385598E-18</v>
      </c>
      <c r="O434">
        <v>-3.0559021979570398E-19</v>
      </c>
      <c r="P434">
        <v>-3.8926373235881303E-18</v>
      </c>
      <c r="Q434">
        <v>-4.0017766878008798E-18</v>
      </c>
      <c r="R434">
        <v>-7.9307937994599301E-19</v>
      </c>
      <c r="S434">
        <v>-2.0445440895855399E-18</v>
      </c>
      <c r="T434">
        <v>-3.7834979593753802E-19</v>
      </c>
      <c r="U434">
        <v>6.3591869547963097E-18</v>
      </c>
      <c r="V434">
        <v>-9.7497832030057894E-19</v>
      </c>
      <c r="W434">
        <v>-2.8376234695315401E-18</v>
      </c>
      <c r="X434">
        <v>-4.0890881791710898E-18</v>
      </c>
      <c r="Y434">
        <v>-3.12138581648469E-18</v>
      </c>
      <c r="Z434">
        <v>-9.9680619314312893E-19</v>
      </c>
      <c r="AA434">
        <v>-6.9849193096160898E-19</v>
      </c>
      <c r="AB434">
        <v>-1.6298145055770901E-18</v>
      </c>
      <c r="AC434">
        <v>-8.4401108324527697E-19</v>
      </c>
      <c r="AD434">
        <v>2.7685018721967901E-18</v>
      </c>
      <c r="AE434">
        <v>-2.2810127120465001E-18</v>
      </c>
      <c r="AF434">
        <v>1.9499566406011598E-18</v>
      </c>
      <c r="AG434">
        <v>3.8598955143243101E-18</v>
      </c>
      <c r="AH434">
        <v>1.0913936421275099E-19</v>
      </c>
      <c r="AI434">
        <v>9.8589225672185394E-19</v>
      </c>
      <c r="AJ434">
        <v>-1.12413545139134E-18</v>
      </c>
      <c r="AK434">
        <v>2.1645973902195701E-18</v>
      </c>
      <c r="AL434">
        <v>2.0881998352706399E-18</v>
      </c>
      <c r="AM434">
        <v>-1.82990333996713E-18</v>
      </c>
      <c r="AN434">
        <v>1.15687726065516E-18</v>
      </c>
      <c r="AO434">
        <v>1.1095835361629699E-18</v>
      </c>
      <c r="AP434">
        <v>2.4992914404720101E-18</v>
      </c>
      <c r="AQ434">
        <v>-2.7903297450393401E-18</v>
      </c>
      <c r="AR434">
        <v>-3.7834979593753802E-19</v>
      </c>
      <c r="AS434">
        <v>1.74622982740402E-19</v>
      </c>
    </row>
    <row r="435" spans="1:45" x14ac:dyDescent="0.3">
      <c r="A435" t="s">
        <v>728</v>
      </c>
      <c r="B435" t="s">
        <v>686</v>
      </c>
      <c r="C435" t="s">
        <v>681</v>
      </c>
      <c r="D435" t="s">
        <v>719</v>
      </c>
      <c r="E435" t="s">
        <v>22</v>
      </c>
      <c r="F435">
        <v>-16.2102322347403</v>
      </c>
      <c r="G435">
        <v>45.3443035964657</v>
      </c>
      <c r="H435">
        <v>38.161457051506197</v>
      </c>
      <c r="I435">
        <v>532.07570464557</v>
      </c>
      <c r="J435">
        <v>8.1755339499999996E-2</v>
      </c>
      <c r="K435">
        <v>8.4071122799999995E-2</v>
      </c>
      <c r="L435">
        <v>8.5088139500000007E-2</v>
      </c>
      <c r="M435">
        <v>8.6336642500000005E-2</v>
      </c>
      <c r="N435">
        <v>8.7456534200000005E-2</v>
      </c>
      <c r="O435">
        <v>8.8342426099999996E-2</v>
      </c>
      <c r="P435">
        <v>8.8953977700000006E-2</v>
      </c>
      <c r="Q435">
        <v>8.9432380300000003E-2</v>
      </c>
      <c r="R435">
        <v>8.9738845600000006E-2</v>
      </c>
      <c r="S435">
        <v>8.9912776599999994E-2</v>
      </c>
      <c r="T435">
        <v>9.0131241900000006E-2</v>
      </c>
      <c r="U435">
        <v>9.0598574000000001E-2</v>
      </c>
      <c r="V435">
        <v>9.1301864100000005E-2</v>
      </c>
      <c r="W435">
        <v>9.2097228000000003E-2</v>
      </c>
      <c r="X435">
        <v>9.2921589200000002E-2</v>
      </c>
      <c r="Y435">
        <v>9.3782125999999993E-2</v>
      </c>
      <c r="Z435">
        <v>9.4715410099999994E-2</v>
      </c>
      <c r="AA435">
        <v>9.5574083399999996E-2</v>
      </c>
      <c r="AB435">
        <v>9.6380603999999995E-2</v>
      </c>
      <c r="AC435">
        <v>9.7207407300000007E-2</v>
      </c>
      <c r="AD435">
        <v>9.8053280000000007E-2</v>
      </c>
      <c r="AE435">
        <v>9.8876612500000002E-2</v>
      </c>
      <c r="AF435">
        <v>9.9684386900000005E-2</v>
      </c>
      <c r="AG435">
        <v>0.1005448406</v>
      </c>
      <c r="AH435">
        <v>0.1014310075</v>
      </c>
      <c r="AI435">
        <v>0.1023005698</v>
      </c>
      <c r="AJ435">
        <v>0.103193479</v>
      </c>
      <c r="AK435">
        <v>0.10407107779999999</v>
      </c>
      <c r="AL435">
        <v>0.10490496370000001</v>
      </c>
      <c r="AM435">
        <v>0.1057201131</v>
      </c>
      <c r="AN435">
        <v>0.1065230264</v>
      </c>
      <c r="AO435">
        <v>0.1073353289</v>
      </c>
      <c r="AP435">
        <v>0.1081527009</v>
      </c>
      <c r="AQ435">
        <v>0.108931631</v>
      </c>
      <c r="AR435">
        <v>0.1096463543</v>
      </c>
      <c r="AS435">
        <v>0.11037302340000001</v>
      </c>
    </row>
    <row r="436" spans="1:45" x14ac:dyDescent="0.3">
      <c r="A436" t="s">
        <v>728</v>
      </c>
      <c r="B436" t="s">
        <v>685</v>
      </c>
      <c r="C436" t="s">
        <v>681</v>
      </c>
      <c r="D436" t="s">
        <v>719</v>
      </c>
      <c r="E436" t="s">
        <v>22</v>
      </c>
      <c r="F436">
        <v>-16.2102322347403</v>
      </c>
      <c r="G436">
        <v>45.3443035964657</v>
      </c>
      <c r="H436">
        <v>38.161457051506197</v>
      </c>
      <c r="I436">
        <v>532.07570464557</v>
      </c>
      <c r="J436">
        <v>8.1755339499999996E-2</v>
      </c>
      <c r="K436">
        <v>8.4071122799999995E-2</v>
      </c>
      <c r="L436">
        <v>8.5088139500000007E-2</v>
      </c>
      <c r="M436">
        <v>8.6336642500000005E-2</v>
      </c>
      <c r="N436">
        <v>8.7456534200000005E-2</v>
      </c>
      <c r="O436">
        <v>8.4743425286832902E-2</v>
      </c>
      <c r="P436">
        <v>8.2019151977986399E-2</v>
      </c>
      <c r="Q436">
        <v>7.9194745841466796E-2</v>
      </c>
      <c r="R436">
        <v>7.6294124264651597E-2</v>
      </c>
      <c r="S436">
        <v>7.3471851161515694E-2</v>
      </c>
      <c r="T436">
        <v>7.0706818955054998E-2</v>
      </c>
      <c r="U436">
        <v>6.8025543300628002E-2</v>
      </c>
      <c r="V436">
        <v>6.5428374426462196E-2</v>
      </c>
      <c r="W436">
        <v>6.2995138577047305E-2</v>
      </c>
      <c r="X436">
        <v>6.0784998463339401E-2</v>
      </c>
      <c r="Y436">
        <v>5.95207339665891E-2</v>
      </c>
      <c r="Z436">
        <v>5.9511504943773302E-2</v>
      </c>
      <c r="AA436">
        <v>5.92838905285289E-2</v>
      </c>
      <c r="AB436">
        <v>5.9216537764688701E-2</v>
      </c>
      <c r="AC436">
        <v>5.91038709208319E-2</v>
      </c>
      <c r="AD436">
        <v>5.9099923595472698E-2</v>
      </c>
      <c r="AE436">
        <v>5.9320608639045903E-2</v>
      </c>
      <c r="AF436">
        <v>5.9707053379230601E-2</v>
      </c>
      <c r="AG436">
        <v>6.0151702340782001E-2</v>
      </c>
      <c r="AH436">
        <v>6.0638330915154401E-2</v>
      </c>
      <c r="AI436">
        <v>6.1093124606583803E-2</v>
      </c>
      <c r="AJ436">
        <v>6.1538054965882202E-2</v>
      </c>
      <c r="AK436">
        <v>6.1955240989834903E-2</v>
      </c>
      <c r="AL436">
        <v>6.2357858760555003E-2</v>
      </c>
      <c r="AM436">
        <v>6.2751989054312604E-2</v>
      </c>
      <c r="AN436">
        <v>6.3136333513830606E-2</v>
      </c>
      <c r="AO436">
        <v>6.3539821687683906E-2</v>
      </c>
      <c r="AP436">
        <v>6.3994852799527699E-2</v>
      </c>
      <c r="AQ436">
        <v>6.4391043615935506E-2</v>
      </c>
      <c r="AR436">
        <v>6.4774787996252206E-2</v>
      </c>
      <c r="AS436">
        <v>6.5130049771280896E-2</v>
      </c>
    </row>
    <row r="437" spans="1:45" x14ac:dyDescent="0.3">
      <c r="A437" t="s">
        <v>728</v>
      </c>
      <c r="B437" t="s">
        <v>684</v>
      </c>
      <c r="C437" t="s">
        <v>681</v>
      </c>
      <c r="D437" t="s">
        <v>719</v>
      </c>
      <c r="E437" t="s">
        <v>22</v>
      </c>
      <c r="F437">
        <v>-16.2102322347403</v>
      </c>
      <c r="G437">
        <v>45.3443035964657</v>
      </c>
      <c r="H437">
        <v>999</v>
      </c>
      <c r="I437">
        <v>999</v>
      </c>
      <c r="J437">
        <v>9.6877600000001507E-5</v>
      </c>
      <c r="K437">
        <v>-2.2992026060819601E-18</v>
      </c>
      <c r="L437">
        <v>5.5879354476928703E-18</v>
      </c>
      <c r="M437">
        <v>4.0745362639427198E-19</v>
      </c>
      <c r="N437">
        <v>-1.37370079755783E-17</v>
      </c>
      <c r="O437">
        <v>1.57160684466362E-18</v>
      </c>
      <c r="P437">
        <v>1.7171259969472899E-17</v>
      </c>
      <c r="Q437">
        <v>2.4621840566396699E-17</v>
      </c>
      <c r="R437">
        <v>-7.4505805969238301E-18</v>
      </c>
      <c r="S437">
        <v>2.4214386940002399E-17</v>
      </c>
      <c r="T437">
        <v>5.9371814131736802E-18</v>
      </c>
      <c r="U437">
        <v>-2.7939677238464402E-18</v>
      </c>
      <c r="V437">
        <v>1.37370079755783E-17</v>
      </c>
      <c r="W437">
        <v>1.03609636425972E-17</v>
      </c>
      <c r="X437">
        <v>-2.8172507882118197E-17</v>
      </c>
      <c r="Y437">
        <v>-1.32713466882706E-17</v>
      </c>
      <c r="Z437">
        <v>-2.4214386940002399E-17</v>
      </c>
      <c r="AA437">
        <v>-3.2596290111541801E-18</v>
      </c>
      <c r="AB437">
        <v>3.7252902984619097E-18</v>
      </c>
      <c r="AC437">
        <v>-4.9592927098274197E-17</v>
      </c>
      <c r="AD437">
        <v>-1.8393620848655699E-17</v>
      </c>
      <c r="AE437">
        <v>9.7788870334625303E-18</v>
      </c>
      <c r="AF437">
        <v>-2.8870999813079803E-17</v>
      </c>
      <c r="AG437">
        <v>-5.5879354476928703E-18</v>
      </c>
      <c r="AH437">
        <v>5.1222741603851299E-18</v>
      </c>
      <c r="AI437">
        <v>2.09547579288483E-17</v>
      </c>
      <c r="AJ437">
        <v>-1.02445483207703E-17</v>
      </c>
      <c r="AK437">
        <v>-1.0710209608078E-17</v>
      </c>
      <c r="AL437">
        <v>1.5832483768463101E-17</v>
      </c>
      <c r="AM437">
        <v>1.02445483207703E-17</v>
      </c>
      <c r="AN437">
        <v>7.4505805969238301E-18</v>
      </c>
      <c r="AO437">
        <v>-6.0535967350006099E-18</v>
      </c>
      <c r="AP437">
        <v>4.6566128730773904E-18</v>
      </c>
      <c r="AQ437">
        <v>2.4680048227310201E-17</v>
      </c>
      <c r="AR437">
        <v>1.6298145055770901E-18</v>
      </c>
      <c r="AS437">
        <v>-1.8626451492309602E-17</v>
      </c>
    </row>
    <row r="438" spans="1:45" x14ac:dyDescent="0.3">
      <c r="A438" t="s">
        <v>728</v>
      </c>
      <c r="B438" t="s">
        <v>682</v>
      </c>
      <c r="C438" t="s">
        <v>681</v>
      </c>
      <c r="D438" t="s">
        <v>719</v>
      </c>
      <c r="E438" t="s">
        <v>22</v>
      </c>
      <c r="F438">
        <v>-16.2102322347403</v>
      </c>
      <c r="G438">
        <v>45.3443035964657</v>
      </c>
      <c r="H438">
        <v>999</v>
      </c>
      <c r="I438">
        <v>999</v>
      </c>
      <c r="J438">
        <v>9.6877600000001507E-5</v>
      </c>
      <c r="K438">
        <v>-2.2992026060819601E-18</v>
      </c>
      <c r="L438">
        <v>5.5879354476928703E-18</v>
      </c>
      <c r="M438">
        <v>4.0745362639427198E-19</v>
      </c>
      <c r="N438">
        <v>-1.37370079755783E-17</v>
      </c>
      <c r="O438">
        <v>-3.4924596548080401E-19</v>
      </c>
      <c r="P438">
        <v>2.00816430151463E-17</v>
      </c>
      <c r="Q438">
        <v>1.74622982740402E-17</v>
      </c>
      <c r="R438">
        <v>-6.3446350395679503E-18</v>
      </c>
      <c r="S438">
        <v>1.61235220730305E-17</v>
      </c>
      <c r="T438">
        <v>-6.4028427004814197E-18</v>
      </c>
      <c r="U438">
        <v>1.81607902050018E-17</v>
      </c>
      <c r="V438">
        <v>-2.2584572434425399E-17</v>
      </c>
      <c r="W438">
        <v>-8.9639797806739793E-18</v>
      </c>
      <c r="X438">
        <v>6.8685039877891501E-18</v>
      </c>
      <c r="Y438">
        <v>1.67638063430786E-17</v>
      </c>
      <c r="Z438">
        <v>3.9581209421157798E-18</v>
      </c>
      <c r="AA438">
        <v>-2.56113708019257E-18</v>
      </c>
      <c r="AB438">
        <v>-5.1222741603851299E-18</v>
      </c>
      <c r="AC438">
        <v>-8.0326572060585002E-18</v>
      </c>
      <c r="AD438">
        <v>-7.79982656240463E-18</v>
      </c>
      <c r="AE438">
        <v>-1.14087015390396E-17</v>
      </c>
      <c r="AF438">
        <v>-1.2456439435482E-17</v>
      </c>
      <c r="AG438">
        <v>7.5669959187507598E-18</v>
      </c>
      <c r="AH438">
        <v>-6.7520886659622204E-18</v>
      </c>
      <c r="AI438">
        <v>1.00117176771164E-17</v>
      </c>
      <c r="AJ438">
        <v>1.7462298274040201E-18</v>
      </c>
      <c r="AK438">
        <v>-2.09547579288483E-17</v>
      </c>
      <c r="AL438">
        <v>2.7939677238464402E-18</v>
      </c>
      <c r="AM438">
        <v>-1.81607902050018E-17</v>
      </c>
      <c r="AN438">
        <v>9.31322574615479E-18</v>
      </c>
      <c r="AO438">
        <v>1.6298145055770901E-18</v>
      </c>
      <c r="AP438">
        <v>-8.1490725278854406E-18</v>
      </c>
      <c r="AQ438">
        <v>-2.3283064365386998E-19</v>
      </c>
      <c r="AR438">
        <v>-6.0535967350006099E-18</v>
      </c>
      <c r="AS438">
        <v>-1.1641532182693501E-18</v>
      </c>
    </row>
    <row r="439" spans="1:45" x14ac:dyDescent="0.3">
      <c r="A439" t="s">
        <v>727</v>
      </c>
      <c r="B439" t="s">
        <v>686</v>
      </c>
      <c r="C439" t="s">
        <v>681</v>
      </c>
      <c r="D439" t="s">
        <v>719</v>
      </c>
      <c r="E439" t="s">
        <v>22</v>
      </c>
      <c r="F439">
        <v>999</v>
      </c>
      <c r="G439">
        <v>0</v>
      </c>
      <c r="H439">
        <v>-820.78181081646403</v>
      </c>
      <c r="I439">
        <v>-20190.348204795599</v>
      </c>
      <c r="J439">
        <v>1.6997072700000001E-2</v>
      </c>
      <c r="K439">
        <v>1.6789534799999999E-2</v>
      </c>
      <c r="L439">
        <v>1.6415748160014201E-2</v>
      </c>
      <c r="M439">
        <v>1.6050723877983199E-2</v>
      </c>
      <c r="N439">
        <v>1.5634331772947999E-2</v>
      </c>
      <c r="O439">
        <v>1.5300191426475099E-2</v>
      </c>
      <c r="P439">
        <v>1.49143074938643E-2</v>
      </c>
      <c r="Q439">
        <v>1.4597436136620401E-2</v>
      </c>
      <c r="R439">
        <v>1.4323737594843599E-2</v>
      </c>
      <c r="S439">
        <v>1.40855282114922E-2</v>
      </c>
      <c r="T439">
        <v>1.3801246255147901E-2</v>
      </c>
      <c r="U439">
        <v>1.35421574085842E-2</v>
      </c>
      <c r="V439">
        <v>1.33261130960652E-2</v>
      </c>
      <c r="W439">
        <v>1.3138393757535199E-2</v>
      </c>
      <c r="X439">
        <v>1.3001617950020999E-2</v>
      </c>
      <c r="Y439">
        <v>1.2856922671901701E-2</v>
      </c>
      <c r="Z439">
        <v>1.26988252467835E-2</v>
      </c>
      <c r="AA439">
        <v>1.2499616636162499E-2</v>
      </c>
      <c r="AB439">
        <v>1.2344048338424601E-2</v>
      </c>
      <c r="AC439">
        <v>1.21802474839689E-2</v>
      </c>
      <c r="AD439">
        <v>1.2040225808490001E-2</v>
      </c>
      <c r="AE439">
        <v>1.1909890676133E-2</v>
      </c>
      <c r="AF439">
        <v>1.1758127164559999E-2</v>
      </c>
      <c r="AG439">
        <v>1.1622495586427599E-2</v>
      </c>
      <c r="AH439">
        <v>1.14971240960674E-2</v>
      </c>
      <c r="AI439">
        <v>1.13824876159342E-2</v>
      </c>
      <c r="AJ439">
        <v>1.12537249056208E-2</v>
      </c>
      <c r="AK439">
        <v>1.1132426140688E-2</v>
      </c>
      <c r="AL439">
        <v>1.1014817974925799E-2</v>
      </c>
      <c r="AM439">
        <v>1.09019191828316E-2</v>
      </c>
      <c r="AN439">
        <v>1.07889471269321E-2</v>
      </c>
      <c r="AO439">
        <v>1.0681308640024201E-2</v>
      </c>
      <c r="AP439">
        <v>1.0578809997944E-2</v>
      </c>
      <c r="AQ439">
        <v>1.0471071103501499E-2</v>
      </c>
      <c r="AR439">
        <v>1.0379238381050201E-2</v>
      </c>
      <c r="AS439">
        <v>1.0280477713879599E-2</v>
      </c>
    </row>
    <row r="440" spans="1:45" x14ac:dyDescent="0.3">
      <c r="A440" t="s">
        <v>727</v>
      </c>
      <c r="B440" t="s">
        <v>685</v>
      </c>
      <c r="C440" t="s">
        <v>681</v>
      </c>
      <c r="D440" t="s">
        <v>719</v>
      </c>
      <c r="E440" t="s">
        <v>22</v>
      </c>
      <c r="F440">
        <v>999</v>
      </c>
      <c r="G440">
        <v>0</v>
      </c>
      <c r="H440">
        <v>-820.78181081646403</v>
      </c>
      <c r="I440">
        <v>-20190.348204795599</v>
      </c>
      <c r="J440">
        <v>1.6997072700000001E-2</v>
      </c>
      <c r="K440">
        <v>1.6789534799999999E-2</v>
      </c>
      <c r="L440">
        <v>1.6415748160014201E-2</v>
      </c>
      <c r="M440">
        <v>1.6050723877983199E-2</v>
      </c>
      <c r="N440">
        <v>1.5634331772947999E-2</v>
      </c>
      <c r="O440">
        <v>1.4562156308565499E-2</v>
      </c>
      <c r="P440">
        <v>1.35974887405046E-2</v>
      </c>
      <c r="Q440">
        <v>1.27718108511114E-2</v>
      </c>
      <c r="R440">
        <v>1.20422271858428E-2</v>
      </c>
      <c r="S440">
        <v>1.14027504864614E-2</v>
      </c>
      <c r="T440">
        <v>1.0774717859807501E-2</v>
      </c>
      <c r="U440">
        <v>1.0216522941391901E-2</v>
      </c>
      <c r="V440">
        <v>9.6952609291152195E-3</v>
      </c>
      <c r="W440">
        <v>9.2124838306753207E-3</v>
      </c>
      <c r="X440">
        <v>8.7969631393237397E-3</v>
      </c>
      <c r="Y440">
        <v>8.4117257219051399E-3</v>
      </c>
      <c r="Z440">
        <v>8.1262333516080205E-3</v>
      </c>
      <c r="AA440">
        <v>8.01379532998092E-3</v>
      </c>
      <c r="AB440">
        <v>7.93470665550511E-3</v>
      </c>
      <c r="AC440">
        <v>7.83746991804362E-3</v>
      </c>
      <c r="AD440">
        <v>7.76327442059019E-3</v>
      </c>
      <c r="AE440">
        <v>7.7007677330994803E-3</v>
      </c>
      <c r="AF440">
        <v>7.6239005760751497E-3</v>
      </c>
      <c r="AG440">
        <v>7.5627899038166104E-3</v>
      </c>
      <c r="AH440">
        <v>7.5456020159934203E-3</v>
      </c>
      <c r="AI440">
        <v>7.5279150466769701E-3</v>
      </c>
      <c r="AJ440">
        <v>7.5015744886958802E-3</v>
      </c>
      <c r="AK440">
        <v>7.4688662539327596E-3</v>
      </c>
      <c r="AL440">
        <v>7.4423815592750998E-3</v>
      </c>
      <c r="AM440">
        <v>7.4160804678268097E-3</v>
      </c>
      <c r="AN440">
        <v>7.3867465593096997E-3</v>
      </c>
      <c r="AO440">
        <v>7.35726077191902E-3</v>
      </c>
      <c r="AP440">
        <v>7.3293532093061898E-3</v>
      </c>
      <c r="AQ440">
        <v>7.2959897253080898E-3</v>
      </c>
      <c r="AR440">
        <v>7.2736709740676298E-3</v>
      </c>
      <c r="AS440">
        <v>7.2454832672097097E-3</v>
      </c>
    </row>
    <row r="441" spans="1:45" x14ac:dyDescent="0.3">
      <c r="A441" t="s">
        <v>727</v>
      </c>
      <c r="B441" t="s">
        <v>684</v>
      </c>
      <c r="C441" t="s">
        <v>681</v>
      </c>
      <c r="D441" t="s">
        <v>719</v>
      </c>
      <c r="E441" t="s">
        <v>22</v>
      </c>
      <c r="F441">
        <v>999</v>
      </c>
      <c r="G441">
        <v>0</v>
      </c>
      <c r="H441">
        <v>-897.099939964177</v>
      </c>
      <c r="I441">
        <v>-22067.691953797599</v>
      </c>
      <c r="J441">
        <v>2.83284545E-3</v>
      </c>
      <c r="K441">
        <v>1.9208528101444201E-18</v>
      </c>
      <c r="L441">
        <v>-2.6229827199131299E-18</v>
      </c>
      <c r="M441">
        <v>-1.34605215862393E-18</v>
      </c>
      <c r="N441">
        <v>3.3542164601385598E-18</v>
      </c>
      <c r="O441">
        <v>1.5119733830191899E-3</v>
      </c>
      <c r="P441">
        <v>2.7651424506820298E-3</v>
      </c>
      <c r="Q441">
        <v>3.81929718459451E-3</v>
      </c>
      <c r="R441">
        <v>4.7144378683152202E-3</v>
      </c>
      <c r="S441">
        <v>5.47668252415683E-3</v>
      </c>
      <c r="T441">
        <v>6.1004647839201596E-3</v>
      </c>
      <c r="U441">
        <v>6.6309039003267199E-3</v>
      </c>
      <c r="V441">
        <v>7.01806023617247E-3</v>
      </c>
      <c r="W441">
        <v>7.7035290534604103E-3</v>
      </c>
      <c r="X441">
        <v>8.3116358100334305E-3</v>
      </c>
      <c r="Y441">
        <v>8.8119479850353403E-3</v>
      </c>
      <c r="Z441">
        <v>9.21979583959146E-3</v>
      </c>
      <c r="AA441">
        <v>9.5218274471234494E-3</v>
      </c>
      <c r="AB441">
        <v>9.7771662012529296E-3</v>
      </c>
      <c r="AC441">
        <v>9.9494682125625695E-3</v>
      </c>
      <c r="AD441">
        <v>1.00984940433361E-2</v>
      </c>
      <c r="AE441">
        <v>1.02187898409952E-2</v>
      </c>
      <c r="AF441">
        <v>1.02883097448444E-2</v>
      </c>
      <c r="AG441">
        <v>1.0343834846508601E-2</v>
      </c>
      <c r="AH441">
        <v>1.03843264892416E-2</v>
      </c>
      <c r="AI441">
        <v>1.0413095739600199E-2</v>
      </c>
      <c r="AJ441">
        <v>1.04107664927429E-2</v>
      </c>
      <c r="AK441">
        <v>1.0399357412664401E-2</v>
      </c>
      <c r="AL441">
        <v>1.03774625447228E-2</v>
      </c>
      <c r="AM441">
        <v>1.03478795660174E-2</v>
      </c>
      <c r="AN441">
        <v>1.0307678631169499E-2</v>
      </c>
      <c r="AO441">
        <v>1.0263349670216301E-2</v>
      </c>
      <c r="AP441">
        <v>1.0215925204729699E-2</v>
      </c>
      <c r="AQ441">
        <v>1.0156404058190001E-2</v>
      </c>
      <c r="AR441">
        <v>1.0106167361551399E-2</v>
      </c>
      <c r="AS441">
        <v>1.00438490344532E-2</v>
      </c>
    </row>
    <row r="442" spans="1:45" x14ac:dyDescent="0.3">
      <c r="A442" t="s">
        <v>727</v>
      </c>
      <c r="B442" t="s">
        <v>682</v>
      </c>
      <c r="C442" t="s">
        <v>681</v>
      </c>
      <c r="D442" t="s">
        <v>719</v>
      </c>
      <c r="E442" t="s">
        <v>22</v>
      </c>
      <c r="F442">
        <v>999</v>
      </c>
      <c r="G442">
        <v>0</v>
      </c>
      <c r="H442">
        <v>-897.099939964177</v>
      </c>
      <c r="I442">
        <v>-22067.691953797599</v>
      </c>
      <c r="J442">
        <v>2.83284545E-3</v>
      </c>
      <c r="K442">
        <v>1.9208528101444201E-18</v>
      </c>
      <c r="L442">
        <v>-2.6229827199131299E-18</v>
      </c>
      <c r="M442">
        <v>-1.34605215862393E-18</v>
      </c>
      <c r="N442">
        <v>3.3542164601385598E-18</v>
      </c>
      <c r="O442">
        <v>1.4293408372281901E-3</v>
      </c>
      <c r="P442">
        <v>2.4933580942292401E-3</v>
      </c>
      <c r="Q442">
        <v>3.2958310576087402E-3</v>
      </c>
      <c r="R442">
        <v>3.9012162463477199E-3</v>
      </c>
      <c r="S442">
        <v>4.3561160296158499E-3</v>
      </c>
      <c r="T442">
        <v>4.6716145471961297E-3</v>
      </c>
      <c r="U442">
        <v>4.8989025464635204E-3</v>
      </c>
      <c r="V442">
        <v>5.0009014867319302E-3</v>
      </c>
      <c r="W442">
        <v>5.3224044265676104E-3</v>
      </c>
      <c r="X442">
        <v>5.5742410605467696E-3</v>
      </c>
      <c r="Y442">
        <v>5.7417113754199599E-3</v>
      </c>
      <c r="Z442">
        <v>5.8991103384297599E-3</v>
      </c>
      <c r="AA442">
        <v>6.1158094377929397E-3</v>
      </c>
      <c r="AB442">
        <v>6.2999958529853699E-3</v>
      </c>
      <c r="AC442">
        <v>6.4122245001489997E-3</v>
      </c>
      <c r="AD442">
        <v>6.5173719533651604E-3</v>
      </c>
      <c r="AE442">
        <v>6.6101040299419798E-3</v>
      </c>
      <c r="AF442">
        <v>6.6710480428040404E-3</v>
      </c>
      <c r="AG442">
        <v>6.7296188583308601E-3</v>
      </c>
      <c r="AH442">
        <v>6.8144460388359397E-3</v>
      </c>
      <c r="AI442">
        <v>6.8864395529497002E-3</v>
      </c>
      <c r="AJ442">
        <v>6.9396989361414502E-3</v>
      </c>
      <c r="AK442">
        <v>6.9773701567887904E-3</v>
      </c>
      <c r="AL442">
        <v>7.01231363092715E-3</v>
      </c>
      <c r="AM442">
        <v>7.0399027692186599E-3</v>
      </c>
      <c r="AN442">
        <v>7.0580418613048496E-3</v>
      </c>
      <c r="AO442">
        <v>7.0702144000829E-3</v>
      </c>
      <c r="AP442">
        <v>7.0787932558376097E-3</v>
      </c>
      <c r="AQ442">
        <v>7.0775955439141697E-3</v>
      </c>
      <c r="AR442">
        <v>7.0831557376584298E-3</v>
      </c>
      <c r="AS442">
        <v>7.07954325421397E-3</v>
      </c>
    </row>
    <row r="443" spans="1:45" x14ac:dyDescent="0.3">
      <c r="A443" t="s">
        <v>726</v>
      </c>
      <c r="B443" t="s">
        <v>686</v>
      </c>
      <c r="C443" t="s">
        <v>681</v>
      </c>
      <c r="D443" t="s">
        <v>719</v>
      </c>
      <c r="E443" t="s">
        <v>22</v>
      </c>
      <c r="F443">
        <v>999</v>
      </c>
      <c r="G443">
        <v>999</v>
      </c>
      <c r="H443">
        <v>192.69717367899599</v>
      </c>
      <c r="I443">
        <v>856.66890191704704</v>
      </c>
      <c r="J443">
        <v>8.1755339499999996E-2</v>
      </c>
      <c r="K443">
        <v>8.4071122799999995E-2</v>
      </c>
      <c r="L443">
        <v>8.5088139500000007E-2</v>
      </c>
      <c r="M443">
        <v>8.6336642500000005E-2</v>
      </c>
      <c r="N443">
        <v>8.7456534200000005E-2</v>
      </c>
      <c r="O443">
        <v>8.8342426099999996E-2</v>
      </c>
      <c r="P443">
        <v>8.8953977700000006E-2</v>
      </c>
      <c r="Q443">
        <v>8.9432380300000003E-2</v>
      </c>
      <c r="R443">
        <v>8.9738845600000006E-2</v>
      </c>
      <c r="S443">
        <v>8.9912776599999994E-2</v>
      </c>
      <c r="T443">
        <v>9.0131241900000006E-2</v>
      </c>
      <c r="U443">
        <v>9.0598574000000001E-2</v>
      </c>
      <c r="V443">
        <v>9.1301864100000005E-2</v>
      </c>
      <c r="W443">
        <v>9.2097228000000003E-2</v>
      </c>
      <c r="X443">
        <v>9.2921589200000002E-2</v>
      </c>
      <c r="Y443">
        <v>9.3782125999999993E-2</v>
      </c>
      <c r="Z443">
        <v>9.4715410099999994E-2</v>
      </c>
      <c r="AA443">
        <v>9.5574083399999996E-2</v>
      </c>
      <c r="AB443">
        <v>9.6380603999999995E-2</v>
      </c>
      <c r="AC443">
        <v>9.7207407300000007E-2</v>
      </c>
      <c r="AD443">
        <v>9.8053280000000007E-2</v>
      </c>
      <c r="AE443">
        <v>9.8876612500000002E-2</v>
      </c>
      <c r="AF443">
        <v>9.9684386900000005E-2</v>
      </c>
      <c r="AG443">
        <v>0.1005448406</v>
      </c>
      <c r="AH443">
        <v>0.1014310075</v>
      </c>
      <c r="AI443">
        <v>0.1023005698</v>
      </c>
      <c r="AJ443">
        <v>0.103193479</v>
      </c>
      <c r="AK443">
        <v>0.10407107779999999</v>
      </c>
      <c r="AL443">
        <v>0.10490496370000001</v>
      </c>
      <c r="AM443">
        <v>0.1057201131</v>
      </c>
      <c r="AN443">
        <v>0.1065230264</v>
      </c>
      <c r="AO443">
        <v>0.1073353289</v>
      </c>
      <c r="AP443">
        <v>0.1081527009</v>
      </c>
      <c r="AQ443">
        <v>0.108931631</v>
      </c>
      <c r="AR443">
        <v>0.1096463543</v>
      </c>
      <c r="AS443">
        <v>0.11037302340000001</v>
      </c>
    </row>
    <row r="444" spans="1:45" x14ac:dyDescent="0.3">
      <c r="A444" t="s">
        <v>726</v>
      </c>
      <c r="B444" t="s">
        <v>685</v>
      </c>
      <c r="C444" t="s">
        <v>681</v>
      </c>
      <c r="D444" t="s">
        <v>719</v>
      </c>
      <c r="E444" t="s">
        <v>22</v>
      </c>
      <c r="F444">
        <v>999</v>
      </c>
      <c r="G444">
        <v>999</v>
      </c>
      <c r="H444">
        <v>192.69717367899599</v>
      </c>
      <c r="I444">
        <v>856.66890191704704</v>
      </c>
      <c r="J444">
        <v>8.1755339499999996E-2</v>
      </c>
      <c r="K444">
        <v>8.4071122799999995E-2</v>
      </c>
      <c r="L444">
        <v>8.5088139500000007E-2</v>
      </c>
      <c r="M444">
        <v>8.6336642500000005E-2</v>
      </c>
      <c r="N444">
        <v>8.7456534200000005E-2</v>
      </c>
      <c r="O444">
        <v>8.8375822227255402E-2</v>
      </c>
      <c r="P444">
        <v>8.8764917957174394E-2</v>
      </c>
      <c r="Q444">
        <v>8.8849430167055002E-2</v>
      </c>
      <c r="R444">
        <v>8.8676325743631407E-2</v>
      </c>
      <c r="S444">
        <v>8.8465977714745403E-2</v>
      </c>
      <c r="T444">
        <v>8.8140910613326906E-2</v>
      </c>
      <c r="U444">
        <v>8.8027459483068393E-2</v>
      </c>
      <c r="V444">
        <v>8.8143857929330799E-2</v>
      </c>
      <c r="W444">
        <v>8.8368799255342703E-2</v>
      </c>
      <c r="X444">
        <v>8.8806078632909805E-2</v>
      </c>
      <c r="Y444">
        <v>8.9311925131001502E-2</v>
      </c>
      <c r="Z444">
        <v>8.9950974085899901E-2</v>
      </c>
      <c r="AA444">
        <v>9.0241403316936503E-2</v>
      </c>
      <c r="AB444">
        <v>9.07727964730074E-2</v>
      </c>
      <c r="AC444">
        <v>9.1231330859255597E-2</v>
      </c>
      <c r="AD444">
        <v>9.1857805689080904E-2</v>
      </c>
      <c r="AE444">
        <v>9.2572916554511997E-2</v>
      </c>
      <c r="AF444">
        <v>9.3180181030193002E-2</v>
      </c>
      <c r="AG444">
        <v>9.3878146283797606E-2</v>
      </c>
      <c r="AH444">
        <v>9.4641484287478303E-2</v>
      </c>
      <c r="AI444">
        <v>9.5353190562432799E-2</v>
      </c>
      <c r="AJ444">
        <v>9.6047630887926005E-2</v>
      </c>
      <c r="AK444">
        <v>9.6698768290016904E-2</v>
      </c>
      <c r="AL444">
        <v>9.7327167790983896E-2</v>
      </c>
      <c r="AM444">
        <v>9.7942320171044803E-2</v>
      </c>
      <c r="AN444">
        <v>9.8542198974527706E-2</v>
      </c>
      <c r="AO444">
        <v>9.9171956987051793E-2</v>
      </c>
      <c r="AP444">
        <v>9.9882162408674605E-2</v>
      </c>
      <c r="AQ444">
        <v>0.100500530820166</v>
      </c>
      <c r="AR444">
        <v>0.101099473029445</v>
      </c>
      <c r="AS444">
        <v>0.101653960035176</v>
      </c>
    </row>
    <row r="445" spans="1:45" x14ac:dyDescent="0.3">
      <c r="A445" t="s">
        <v>726</v>
      </c>
      <c r="B445" t="s">
        <v>684</v>
      </c>
      <c r="C445" t="s">
        <v>681</v>
      </c>
      <c r="D445" t="s">
        <v>719</v>
      </c>
      <c r="E445" t="s">
        <v>22</v>
      </c>
      <c r="F445">
        <v>999</v>
      </c>
      <c r="G445">
        <v>999</v>
      </c>
      <c r="H445">
        <v>999</v>
      </c>
      <c r="I445">
        <v>999</v>
      </c>
      <c r="J445">
        <v>9.6877600000001507E-5</v>
      </c>
      <c r="K445">
        <v>-2.2992026060819601E-18</v>
      </c>
      <c r="L445">
        <v>5.5879354476928703E-18</v>
      </c>
      <c r="M445">
        <v>4.0745362639427198E-19</v>
      </c>
      <c r="N445">
        <v>-1.37370079755783E-17</v>
      </c>
      <c r="O445">
        <v>1.57160684466362E-18</v>
      </c>
      <c r="P445">
        <v>1.7171259969472899E-17</v>
      </c>
      <c r="Q445">
        <v>2.4621840566396699E-17</v>
      </c>
      <c r="R445">
        <v>-7.4505805969238301E-18</v>
      </c>
      <c r="S445">
        <v>2.4214386940002399E-17</v>
      </c>
      <c r="T445">
        <v>5.9371814131736802E-18</v>
      </c>
      <c r="U445">
        <v>-2.7939677238464402E-18</v>
      </c>
      <c r="V445">
        <v>1.37370079755783E-17</v>
      </c>
      <c r="W445">
        <v>1.03609636425972E-17</v>
      </c>
      <c r="X445">
        <v>-2.8172507882118197E-17</v>
      </c>
      <c r="Y445">
        <v>-1.32713466882706E-17</v>
      </c>
      <c r="Z445">
        <v>-2.4214386940002399E-17</v>
      </c>
      <c r="AA445">
        <v>-3.2596290111541801E-18</v>
      </c>
      <c r="AB445">
        <v>3.7252902984619097E-18</v>
      </c>
      <c r="AC445">
        <v>-4.9592927098274197E-17</v>
      </c>
      <c r="AD445">
        <v>-1.8393620848655699E-17</v>
      </c>
      <c r="AE445">
        <v>9.7788870334625303E-18</v>
      </c>
      <c r="AF445">
        <v>-2.8870999813079803E-17</v>
      </c>
      <c r="AG445">
        <v>-5.5879354476928703E-18</v>
      </c>
      <c r="AH445">
        <v>5.1222741603851299E-18</v>
      </c>
      <c r="AI445">
        <v>2.09547579288483E-17</v>
      </c>
      <c r="AJ445">
        <v>-1.02445483207703E-17</v>
      </c>
      <c r="AK445">
        <v>-1.0710209608078E-17</v>
      </c>
      <c r="AL445">
        <v>1.5832483768463101E-17</v>
      </c>
      <c r="AM445">
        <v>1.02445483207703E-17</v>
      </c>
      <c r="AN445">
        <v>7.4505805969238301E-18</v>
      </c>
      <c r="AO445">
        <v>-6.0535967350006099E-18</v>
      </c>
      <c r="AP445">
        <v>4.6566128730773904E-18</v>
      </c>
      <c r="AQ445">
        <v>2.4680048227310201E-17</v>
      </c>
      <c r="AR445">
        <v>1.6298145055770901E-18</v>
      </c>
      <c r="AS445">
        <v>-1.8626451492309602E-17</v>
      </c>
    </row>
    <row r="446" spans="1:45" x14ac:dyDescent="0.3">
      <c r="A446" t="s">
        <v>726</v>
      </c>
      <c r="B446" t="s">
        <v>682</v>
      </c>
      <c r="C446" t="s">
        <v>681</v>
      </c>
      <c r="D446" t="s">
        <v>719</v>
      </c>
      <c r="E446" t="s">
        <v>22</v>
      </c>
      <c r="F446">
        <v>999</v>
      </c>
      <c r="G446">
        <v>999</v>
      </c>
      <c r="H446">
        <v>999</v>
      </c>
      <c r="I446">
        <v>999</v>
      </c>
      <c r="J446">
        <v>9.6877600000001507E-5</v>
      </c>
      <c r="K446">
        <v>-2.2992026060819601E-18</v>
      </c>
      <c r="L446">
        <v>5.5879354476928703E-18</v>
      </c>
      <c r="M446">
        <v>4.0745362639427198E-19</v>
      </c>
      <c r="N446">
        <v>-1.37370079755783E-17</v>
      </c>
      <c r="O446">
        <v>3.6205165088176699E-17</v>
      </c>
      <c r="P446">
        <v>1.57160684466362E-18</v>
      </c>
      <c r="Q446">
        <v>-1.7345882952213299E-17</v>
      </c>
      <c r="R446">
        <v>8.6147338151931795E-18</v>
      </c>
      <c r="S446">
        <v>1.5832483768463101E-17</v>
      </c>
      <c r="T446">
        <v>-5.8207660913467397E-18</v>
      </c>
      <c r="U446">
        <v>2.77068465948105E-17</v>
      </c>
      <c r="V446">
        <v>3.4924596548080401E-19</v>
      </c>
      <c r="W446">
        <v>-2.5029294192791001E-17</v>
      </c>
      <c r="X446">
        <v>-2.09547579288483E-17</v>
      </c>
      <c r="Y446">
        <v>-6.9849193096160898E-19</v>
      </c>
      <c r="Z446">
        <v>1.37370079755783E-17</v>
      </c>
      <c r="AA446">
        <v>6.5192580223083502E-18</v>
      </c>
      <c r="AB446">
        <v>-3.9814040064811703E-17</v>
      </c>
      <c r="AC446">
        <v>1.8393620848655699E-17</v>
      </c>
      <c r="AD446">
        <v>1.8626451492309602E-17</v>
      </c>
      <c r="AE446">
        <v>1.1175870895385701E-17</v>
      </c>
      <c r="AF446">
        <v>-6.7520886659622204E-18</v>
      </c>
      <c r="AG446">
        <v>1.37370079755783E-17</v>
      </c>
      <c r="AH446">
        <v>1.0477378964424099E-17</v>
      </c>
      <c r="AI446">
        <v>-1.74622982740402E-17</v>
      </c>
      <c r="AJ446">
        <v>3.2130628824234001E-17</v>
      </c>
      <c r="AK446">
        <v>-3.25962901115418E-17</v>
      </c>
      <c r="AL446">
        <v>-1.67638063430786E-17</v>
      </c>
      <c r="AM446">
        <v>3.5855919122695899E-17</v>
      </c>
      <c r="AN446">
        <v>-2.5145709514617899E-17</v>
      </c>
      <c r="AO446">
        <v>-1.8626451492309598E-18</v>
      </c>
      <c r="AP446">
        <v>-9.0803951025009198E-18</v>
      </c>
      <c r="AQ446">
        <v>-1.8859282135963399E-17</v>
      </c>
      <c r="AR446">
        <v>2.16532498598099E-17</v>
      </c>
      <c r="AS446">
        <v>2.3283064365386999E-17</v>
      </c>
    </row>
    <row r="447" spans="1:45" x14ac:dyDescent="0.3">
      <c r="A447" t="s">
        <v>725</v>
      </c>
      <c r="B447" t="s">
        <v>686</v>
      </c>
      <c r="C447" t="s">
        <v>681</v>
      </c>
      <c r="D447" t="s">
        <v>719</v>
      </c>
      <c r="E447" t="s">
        <v>696</v>
      </c>
      <c r="F447">
        <v>999</v>
      </c>
      <c r="G447">
        <v>0</v>
      </c>
      <c r="H447">
        <v>-751.16268713912405</v>
      </c>
      <c r="I447">
        <v>-18477.792772603501</v>
      </c>
      <c r="J447">
        <v>3.5570502984524098E-2</v>
      </c>
      <c r="K447">
        <v>3.7730084134296703E-2</v>
      </c>
      <c r="L447">
        <v>3.6749395032653398E-2</v>
      </c>
      <c r="M447">
        <v>3.9653408900388203E-2</v>
      </c>
      <c r="N447">
        <v>3.6492650287710898E-2</v>
      </c>
      <c r="O447">
        <v>3.7103319696280002E-2</v>
      </c>
      <c r="P447">
        <v>3.6519574610597398E-2</v>
      </c>
      <c r="Q447">
        <v>3.5937386235814599E-2</v>
      </c>
      <c r="R447">
        <v>3.5267857367428303E-2</v>
      </c>
      <c r="S447">
        <v>3.4695755661975497E-2</v>
      </c>
      <c r="T447">
        <v>3.3989800023821702E-2</v>
      </c>
      <c r="U447">
        <v>3.33747931183144E-2</v>
      </c>
      <c r="V447">
        <v>3.2855008914987702E-2</v>
      </c>
      <c r="W447">
        <v>3.2419646495653397E-2</v>
      </c>
      <c r="X447">
        <v>3.2116070576789703E-2</v>
      </c>
      <c r="Y447">
        <v>3.1808259504731602E-2</v>
      </c>
      <c r="Z447">
        <v>3.1487371828956598E-2</v>
      </c>
      <c r="AA447">
        <v>3.1065000798692E-2</v>
      </c>
      <c r="AB447">
        <v>3.0781753020699999E-2</v>
      </c>
      <c r="AC447">
        <v>3.0490559163228799E-2</v>
      </c>
      <c r="AD447">
        <v>3.0268806118960701E-2</v>
      </c>
      <c r="AE447">
        <v>3.0074413481251599E-2</v>
      </c>
      <c r="AF447">
        <v>2.9838140602749801E-2</v>
      </c>
      <c r="AG447">
        <v>2.9616477856273402E-2</v>
      </c>
      <c r="AH447">
        <v>2.9435669774590899E-2</v>
      </c>
      <c r="AI447">
        <v>2.92795099677449E-2</v>
      </c>
      <c r="AJ447">
        <v>2.9101032695295799E-2</v>
      </c>
      <c r="AK447">
        <v>2.89489732483958E-2</v>
      </c>
      <c r="AL447">
        <v>2.88148466981058E-2</v>
      </c>
      <c r="AM447">
        <v>2.86821273281768E-2</v>
      </c>
      <c r="AN447">
        <v>2.85547545686601E-2</v>
      </c>
      <c r="AO447">
        <v>2.8443202296008101E-2</v>
      </c>
      <c r="AP447">
        <v>2.8351407975555298E-2</v>
      </c>
      <c r="AQ447">
        <v>2.8239161049748201E-2</v>
      </c>
      <c r="AR447">
        <v>2.81581477538798E-2</v>
      </c>
      <c r="AS447">
        <v>2.8089437172343301E-2</v>
      </c>
    </row>
    <row r="448" spans="1:45" x14ac:dyDescent="0.3">
      <c r="A448" t="s">
        <v>725</v>
      </c>
      <c r="B448" t="s">
        <v>685</v>
      </c>
      <c r="C448" t="s">
        <v>681</v>
      </c>
      <c r="D448" t="s">
        <v>719</v>
      </c>
      <c r="E448" t="s">
        <v>696</v>
      </c>
      <c r="F448">
        <v>999</v>
      </c>
      <c r="G448">
        <v>0</v>
      </c>
      <c r="H448">
        <v>-751.16268713912405</v>
      </c>
      <c r="I448">
        <v>-18477.792772603501</v>
      </c>
      <c r="J448">
        <v>3.5570502984524098E-2</v>
      </c>
      <c r="K448">
        <v>3.7730084134296703E-2</v>
      </c>
      <c r="L448">
        <v>3.6749395032653398E-2</v>
      </c>
      <c r="M448">
        <v>3.9653408900388203E-2</v>
      </c>
      <c r="N448">
        <v>3.6492650287710898E-2</v>
      </c>
      <c r="O448">
        <v>3.5640479064175397E-2</v>
      </c>
      <c r="P448">
        <v>3.3765423648753699E-2</v>
      </c>
      <c r="Q448">
        <v>3.1997440000849399E-2</v>
      </c>
      <c r="R448">
        <v>3.0252713060359902E-2</v>
      </c>
      <c r="S448">
        <v>2.8685340027084099E-2</v>
      </c>
      <c r="T448">
        <v>2.7094953524188399E-2</v>
      </c>
      <c r="U448">
        <v>2.56585256430698E-2</v>
      </c>
      <c r="V448">
        <v>2.4368679191806599E-2</v>
      </c>
      <c r="W448">
        <v>2.32077119472031E-2</v>
      </c>
      <c r="X448">
        <v>2.2200302471801301E-2</v>
      </c>
      <c r="Y448">
        <v>2.12414565889332E-2</v>
      </c>
      <c r="Z448">
        <v>2.0321723395406999E-2</v>
      </c>
      <c r="AA448">
        <v>1.9390524492089199E-2</v>
      </c>
      <c r="AB448">
        <v>1.8611628933352602E-2</v>
      </c>
      <c r="AC448">
        <v>1.7890696645504099E-2</v>
      </c>
      <c r="AD448">
        <v>1.7250353368048699E-2</v>
      </c>
      <c r="AE448">
        <v>1.6640655139236099E-2</v>
      </c>
      <c r="AF448">
        <v>1.5978659009213698E-2</v>
      </c>
      <c r="AG448">
        <v>1.56211345324707E-2</v>
      </c>
      <c r="AH448">
        <v>1.5437190115201199E-2</v>
      </c>
      <c r="AI448">
        <v>1.52694725134615E-2</v>
      </c>
      <c r="AJ448">
        <v>1.5092664043579999E-2</v>
      </c>
      <c r="AK448">
        <v>1.49326080558248E-2</v>
      </c>
      <c r="AL448">
        <v>1.47861530899729E-2</v>
      </c>
      <c r="AM448">
        <v>1.4645117157228001E-2</v>
      </c>
      <c r="AN448">
        <v>1.4508558752731699E-2</v>
      </c>
      <c r="AO448">
        <v>1.43821877715344E-2</v>
      </c>
      <c r="AP448">
        <v>1.42671143565935E-2</v>
      </c>
      <c r="AQ448">
        <v>1.41440593163626E-2</v>
      </c>
      <c r="AR448">
        <v>1.4038185869747101E-2</v>
      </c>
      <c r="AS448">
        <v>1.3939995942719699E-2</v>
      </c>
    </row>
    <row r="449" spans="1:45" x14ac:dyDescent="0.3">
      <c r="A449" t="s">
        <v>725</v>
      </c>
      <c r="B449" t="s">
        <v>684</v>
      </c>
      <c r="C449" t="s">
        <v>681</v>
      </c>
      <c r="D449" t="s">
        <v>719</v>
      </c>
      <c r="E449" t="s">
        <v>696</v>
      </c>
      <c r="F449">
        <v>999</v>
      </c>
      <c r="G449">
        <v>0</v>
      </c>
      <c r="H449">
        <v>-85397.318202890907</v>
      </c>
      <c r="I449">
        <v>-2100682.0174982501</v>
      </c>
      <c r="J449">
        <v>-2.6228167808932298E-4</v>
      </c>
      <c r="K449">
        <v>-2.0776472717505201E-4</v>
      </c>
      <c r="L449">
        <v>-1.7037075430485901E-4</v>
      </c>
      <c r="M449">
        <v>-2.5486810065630702E-4</v>
      </c>
      <c r="N449">
        <v>-2.6646202332380098E-4</v>
      </c>
      <c r="O449">
        <v>-7.6526101999387596E-4</v>
      </c>
      <c r="P449">
        <v>-6.6662540422388105E-4</v>
      </c>
      <c r="Q449">
        <v>-5.9154277131207098E-4</v>
      </c>
      <c r="R449">
        <v>-5.3342692675724097E-4</v>
      </c>
      <c r="S449">
        <v>-4.8659633038462E-4</v>
      </c>
      <c r="T449">
        <v>-4.3851215092570602E-4</v>
      </c>
      <c r="U449">
        <v>-3.9790015153940702E-4</v>
      </c>
      <c r="V449">
        <v>-3.6131639872812499E-4</v>
      </c>
      <c r="W449">
        <v>-3.3228041570772401E-4</v>
      </c>
      <c r="X449">
        <v>-3.0366242506164198E-4</v>
      </c>
      <c r="Y449">
        <v>-1.86510387941699E-4</v>
      </c>
      <c r="Z449">
        <v>-9.8159339554124598E-5</v>
      </c>
      <c r="AA449">
        <v>-3.1909787653028103E-5</v>
      </c>
      <c r="AB449">
        <v>1.95931736980053E-5</v>
      </c>
      <c r="AC449">
        <v>6.0851933508865698E-5</v>
      </c>
      <c r="AD449">
        <v>9.7435394440576004E-5</v>
      </c>
      <c r="AE449">
        <v>1.3353494824351901E-4</v>
      </c>
      <c r="AF449">
        <v>1.6551999952570199E-4</v>
      </c>
      <c r="AG449">
        <v>1.96228552143911E-4</v>
      </c>
      <c r="AH449">
        <v>2.2644691343132799E-4</v>
      </c>
      <c r="AI449">
        <v>2.3987526096346001E-4</v>
      </c>
      <c r="AJ449">
        <v>2.48598786580077E-4</v>
      </c>
      <c r="AK449">
        <v>2.5917599938529397E-4</v>
      </c>
      <c r="AL449">
        <v>2.43309556706322E-4</v>
      </c>
      <c r="AM449">
        <v>2.14447496924053E-4</v>
      </c>
      <c r="AN449">
        <v>1.7410983131213901E-4</v>
      </c>
      <c r="AO449">
        <v>1.4156988475768899E-4</v>
      </c>
      <c r="AP449">
        <v>1.1646923682402601E-4</v>
      </c>
      <c r="AQ449">
        <v>9.7716584109765599E-5</v>
      </c>
      <c r="AR449">
        <v>8.2494905523802006E-5</v>
      </c>
      <c r="AS449">
        <v>7.0028334253335704E-5</v>
      </c>
    </row>
    <row r="450" spans="1:45" x14ac:dyDescent="0.3">
      <c r="A450" t="s">
        <v>725</v>
      </c>
      <c r="B450" t="s">
        <v>682</v>
      </c>
      <c r="C450" t="s">
        <v>681</v>
      </c>
      <c r="D450" t="s">
        <v>719</v>
      </c>
      <c r="E450" t="s">
        <v>696</v>
      </c>
      <c r="F450">
        <v>999</v>
      </c>
      <c r="G450">
        <v>0</v>
      </c>
      <c r="H450">
        <v>-85397.318202890907</v>
      </c>
      <c r="I450">
        <v>-2100682.0174982501</v>
      </c>
      <c r="J450">
        <v>-2.6356884742950298E-4</v>
      </c>
      <c r="K450">
        <v>-2.1004751084546699E-4</v>
      </c>
      <c r="L450">
        <v>-1.7314141327921399E-4</v>
      </c>
      <c r="M450">
        <v>-2.59209917957204E-4</v>
      </c>
      <c r="N450">
        <v>-2.7158825040794402E-4</v>
      </c>
      <c r="O450">
        <v>-7.5178749373574604E-4</v>
      </c>
      <c r="P450">
        <v>-6.3120998589609402E-4</v>
      </c>
      <c r="Q450">
        <v>-5.38639334459606E-4</v>
      </c>
      <c r="R450">
        <v>-4.6591509381830302E-4</v>
      </c>
      <c r="S450">
        <v>-4.0695758761977098E-4</v>
      </c>
      <c r="T450">
        <v>-3.4983234468970799E-4</v>
      </c>
      <c r="U450">
        <v>-3.0193971954038602E-4</v>
      </c>
      <c r="V450">
        <v>-2.59626277893824E-4</v>
      </c>
      <c r="W450">
        <v>-2.25348606250275E-4</v>
      </c>
      <c r="X450">
        <v>-1.9330509772453599E-4</v>
      </c>
      <c r="Y450">
        <v>-1.18999812492311E-4</v>
      </c>
      <c r="Z450">
        <v>-6.2913243403760606E-5</v>
      </c>
      <c r="AA450">
        <v>-2.2746544289248701E-5</v>
      </c>
      <c r="AB450">
        <v>5.5948919807299803E-6</v>
      </c>
      <c r="AC450">
        <v>2.62707951227361E-5</v>
      </c>
      <c r="AD450">
        <v>4.5160368513697599E-5</v>
      </c>
      <c r="AE450">
        <v>6.3513186221528703E-5</v>
      </c>
      <c r="AF450">
        <v>7.9460524953302902E-5</v>
      </c>
      <c r="AG450">
        <v>9.5228361671825495E-5</v>
      </c>
      <c r="AH450">
        <v>1.10850753512479E-4</v>
      </c>
      <c r="AI450">
        <v>1.16641679364605E-4</v>
      </c>
      <c r="AJ450">
        <v>1.2160151500132401E-4</v>
      </c>
      <c r="AK450">
        <v>1.2778759919294499E-4</v>
      </c>
      <c r="AL450">
        <v>1.21651726863082E-4</v>
      </c>
      <c r="AM450">
        <v>1.0974275109352E-4</v>
      </c>
      <c r="AN450">
        <v>9.1447843476376899E-5</v>
      </c>
      <c r="AO450">
        <v>7.6370140608573601E-5</v>
      </c>
      <c r="AP450">
        <v>6.4298920938282204E-5</v>
      </c>
      <c r="AQ450">
        <v>5.5149085627499201E-5</v>
      </c>
      <c r="AR450">
        <v>4.7562546298816998E-5</v>
      </c>
      <c r="AS450">
        <v>4.1228706912001503E-5</v>
      </c>
    </row>
    <row r="451" spans="1:45" x14ac:dyDescent="0.3">
      <c r="A451" t="s">
        <v>724</v>
      </c>
      <c r="B451" t="s">
        <v>686</v>
      </c>
      <c r="C451" t="s">
        <v>681</v>
      </c>
      <c r="D451" t="s">
        <v>719</v>
      </c>
      <c r="E451" t="s">
        <v>696</v>
      </c>
      <c r="F451">
        <v>6.0885532765778496</v>
      </c>
      <c r="G451">
        <v>11.6769613644787</v>
      </c>
      <c r="H451">
        <v>10.439538206897501</v>
      </c>
      <c r="I451">
        <v>199.477662822339</v>
      </c>
      <c r="J451">
        <v>0.43598606767760001</v>
      </c>
      <c r="K451">
        <v>0.4298561336401</v>
      </c>
      <c r="L451">
        <v>0.39601286324871199</v>
      </c>
      <c r="M451">
        <v>0.45278963404213701</v>
      </c>
      <c r="N451">
        <v>0.42349049172129799</v>
      </c>
      <c r="O451">
        <v>0.42975753910105302</v>
      </c>
      <c r="P451">
        <v>0.42853301182408199</v>
      </c>
      <c r="Q451">
        <v>0.42640818870927599</v>
      </c>
      <c r="R451">
        <v>0.42351589419254299</v>
      </c>
      <c r="S451">
        <v>0.42058507855806998</v>
      </c>
      <c r="T451">
        <v>0.41691976974107697</v>
      </c>
      <c r="U451">
        <v>0.41410004444590798</v>
      </c>
      <c r="V451">
        <v>0.41255435146342301</v>
      </c>
      <c r="W451">
        <v>0.41161795865254902</v>
      </c>
      <c r="X451">
        <v>0.411605387580806</v>
      </c>
      <c r="Y451">
        <v>0.41141401265723498</v>
      </c>
      <c r="Z451">
        <v>0.41125060256547802</v>
      </c>
      <c r="AA451">
        <v>0.41027644335971902</v>
      </c>
      <c r="AB451">
        <v>0.409842280268927</v>
      </c>
      <c r="AC451">
        <v>0.40952569084606699</v>
      </c>
      <c r="AD451">
        <v>0.40961907939731901</v>
      </c>
      <c r="AE451">
        <v>0.409749251342994</v>
      </c>
      <c r="AF451">
        <v>0.409748903602902</v>
      </c>
      <c r="AG451">
        <v>0.40999766890413297</v>
      </c>
      <c r="AH451">
        <v>0.410536813150088</v>
      </c>
      <c r="AI451">
        <v>0.41116064223709298</v>
      </c>
      <c r="AJ451">
        <v>0.41164396829224098</v>
      </c>
      <c r="AK451">
        <v>0.41237197110051399</v>
      </c>
      <c r="AL451">
        <v>0.41312610623868701</v>
      </c>
      <c r="AM451">
        <v>0.41389882326114802</v>
      </c>
      <c r="AN451">
        <v>0.41468094012790202</v>
      </c>
      <c r="AO451">
        <v>0.415688138855898</v>
      </c>
      <c r="AP451">
        <v>0.41675467524781801</v>
      </c>
      <c r="AQ451">
        <v>0.41768928568064401</v>
      </c>
      <c r="AR451">
        <v>0.41878906681421002</v>
      </c>
      <c r="AS451">
        <v>0.420132809533728</v>
      </c>
    </row>
    <row r="452" spans="1:45" x14ac:dyDescent="0.3">
      <c r="A452" t="s">
        <v>724</v>
      </c>
      <c r="B452" t="s">
        <v>685</v>
      </c>
      <c r="C452" t="s">
        <v>681</v>
      </c>
      <c r="D452" t="s">
        <v>719</v>
      </c>
      <c r="E452" t="s">
        <v>696</v>
      </c>
      <c r="F452">
        <v>6.0885532765778496</v>
      </c>
      <c r="G452">
        <v>11.6769613644787</v>
      </c>
      <c r="H452">
        <v>10.439538206897501</v>
      </c>
      <c r="I452">
        <v>199.477662822339</v>
      </c>
      <c r="J452">
        <v>0.43598606767760001</v>
      </c>
      <c r="K452">
        <v>0.4298561336401</v>
      </c>
      <c r="L452">
        <v>0.39601286324871199</v>
      </c>
      <c r="M452">
        <v>0.45278963404213701</v>
      </c>
      <c r="N452">
        <v>0.42349049172129799</v>
      </c>
      <c r="O452">
        <v>0.41208036259272601</v>
      </c>
      <c r="P452">
        <v>0.39475154721890299</v>
      </c>
      <c r="Q452">
        <v>0.37747567472786803</v>
      </c>
      <c r="R452">
        <v>0.36043941882411601</v>
      </c>
      <c r="S452">
        <v>0.344360676859778</v>
      </c>
      <c r="T452">
        <v>0.32838862815450598</v>
      </c>
      <c r="U452">
        <v>0.31383396623370902</v>
      </c>
      <c r="V452">
        <v>0.30097076418768098</v>
      </c>
      <c r="W452">
        <v>0.28922888728357099</v>
      </c>
      <c r="X452">
        <v>0.27901227520481803</v>
      </c>
      <c r="Y452">
        <v>0.26948731493377598</v>
      </c>
      <c r="Z452">
        <v>0.26043720787220298</v>
      </c>
      <c r="AA452">
        <v>0.25121854454232301</v>
      </c>
      <c r="AB452">
        <v>0.243051543884233</v>
      </c>
      <c r="AC452">
        <v>0.23555064946004001</v>
      </c>
      <c r="AD452">
        <v>0.22889708892757701</v>
      </c>
      <c r="AE452">
        <v>0.22285423057923801</v>
      </c>
      <c r="AF452">
        <v>0.217145557254011</v>
      </c>
      <c r="AG452">
        <v>0.212907907668069</v>
      </c>
      <c r="AH452">
        <v>0.20990733485285501</v>
      </c>
      <c r="AI452">
        <v>0.20911758732836899</v>
      </c>
      <c r="AJ452">
        <v>0.20868617305544701</v>
      </c>
      <c r="AK452">
        <v>0.20842063725406501</v>
      </c>
      <c r="AL452">
        <v>0.208235409627994</v>
      </c>
      <c r="AM452">
        <v>0.20812819498139801</v>
      </c>
      <c r="AN452">
        <v>0.20806011889930601</v>
      </c>
      <c r="AO452">
        <v>0.20816961305878501</v>
      </c>
      <c r="AP452">
        <v>0.20840659141178999</v>
      </c>
      <c r="AQ452">
        <v>0.20854719060348201</v>
      </c>
      <c r="AR452">
        <v>0.20892109999682101</v>
      </c>
      <c r="AS452">
        <v>0.209432712216163</v>
      </c>
    </row>
    <row r="453" spans="1:45" x14ac:dyDescent="0.3">
      <c r="A453" t="s">
        <v>724</v>
      </c>
      <c r="B453" t="s">
        <v>684</v>
      </c>
      <c r="C453" t="s">
        <v>681</v>
      </c>
      <c r="D453" t="s">
        <v>719</v>
      </c>
      <c r="E453" t="s">
        <v>696</v>
      </c>
      <c r="F453">
        <v>6.0885532765778496</v>
      </c>
      <c r="G453">
        <v>11.6769613644787</v>
      </c>
      <c r="H453">
        <v>999</v>
      </c>
      <c r="I453">
        <v>999</v>
      </c>
      <c r="J453">
        <v>7.9259452988850298E-3</v>
      </c>
      <c r="K453">
        <v>8.5217829440243104E-3</v>
      </c>
      <c r="L453">
        <v>9.2681463469010601E-4</v>
      </c>
      <c r="M453">
        <v>7.3250147583073504E-4</v>
      </c>
      <c r="N453">
        <v>5.8825091270144503E-4</v>
      </c>
      <c r="O453">
        <v>-3.2037496566772501E-16</v>
      </c>
      <c r="P453">
        <v>1.09430402517319E-16</v>
      </c>
      <c r="Q453">
        <v>1.5227124094963101E-16</v>
      </c>
      <c r="R453">
        <v>2.7008354663848899E-16</v>
      </c>
      <c r="S453">
        <v>2.8498470783233599E-16</v>
      </c>
      <c r="T453">
        <v>1.8812716007232699E-16</v>
      </c>
      <c r="U453">
        <v>8.5216015577316302E-17</v>
      </c>
      <c r="V453">
        <v>2.5564804673194898E-16</v>
      </c>
      <c r="W453">
        <v>1.10827386379242E-16</v>
      </c>
      <c r="X453">
        <v>1.03842467069626E-16</v>
      </c>
      <c r="Y453">
        <v>-1.86730176210403E-16</v>
      </c>
      <c r="Z453">
        <v>2.66358256340027E-16</v>
      </c>
      <c r="AA453">
        <v>-4.8987567424774202E-16</v>
      </c>
      <c r="AB453">
        <v>-4.3865293264389001E-16</v>
      </c>
      <c r="AC453">
        <v>-4.9639493227004997E-16</v>
      </c>
      <c r="AD453">
        <v>-2.2072345018386801E-16</v>
      </c>
      <c r="AE453">
        <v>3.2223761081695601E-16</v>
      </c>
      <c r="AF453">
        <v>1.1920928955078101E-16</v>
      </c>
      <c r="AG453">
        <v>-1.1175870895385699E-16</v>
      </c>
      <c r="AH453">
        <v>-3.2968819141387902E-16</v>
      </c>
      <c r="AI453">
        <v>-2.5145709514617901E-16</v>
      </c>
      <c r="AJ453">
        <v>3.2596290111541801E-16</v>
      </c>
      <c r="AK453">
        <v>-1.1548399925231899E-16</v>
      </c>
      <c r="AL453">
        <v>2.0675361156463601E-16</v>
      </c>
      <c r="AM453">
        <v>5.7741999626159704E-17</v>
      </c>
      <c r="AN453">
        <v>4.4703483581543004E-16</v>
      </c>
      <c r="AO453">
        <v>2.64495611190796E-16</v>
      </c>
      <c r="AP453">
        <v>-1.26659870147705E-16</v>
      </c>
      <c r="AQ453">
        <v>-1.6391277313232401E-16</v>
      </c>
      <c r="AR453">
        <v>-1.49011611938477E-17</v>
      </c>
      <c r="AS453">
        <v>-1.81607902050018E-16</v>
      </c>
    </row>
    <row r="454" spans="1:45" x14ac:dyDescent="0.3">
      <c r="A454" t="s">
        <v>724</v>
      </c>
      <c r="B454" t="s">
        <v>682</v>
      </c>
      <c r="C454" t="s">
        <v>681</v>
      </c>
      <c r="D454" t="s">
        <v>719</v>
      </c>
      <c r="E454" t="s">
        <v>696</v>
      </c>
      <c r="F454">
        <v>6.0885532765778496</v>
      </c>
      <c r="G454">
        <v>11.6769613644787</v>
      </c>
      <c r="H454">
        <v>999</v>
      </c>
      <c r="I454">
        <v>999</v>
      </c>
      <c r="J454">
        <v>7.9038635561288293E-3</v>
      </c>
      <c r="K454">
        <v>8.4924527202236907E-3</v>
      </c>
      <c r="L454">
        <v>8.8145771470139603E-4</v>
      </c>
      <c r="M454">
        <v>6.6314042918359198E-4</v>
      </c>
      <c r="N454">
        <v>5.1154433273285598E-4</v>
      </c>
      <c r="O454">
        <v>4.8661604523658803E-17</v>
      </c>
      <c r="P454">
        <v>-2.4726614356040998E-16</v>
      </c>
      <c r="Q454">
        <v>2.2281892597675301E-16</v>
      </c>
      <c r="R454">
        <v>1.5040859580040001E-16</v>
      </c>
      <c r="S454">
        <v>8.1025063991546605E-17</v>
      </c>
      <c r="T454">
        <v>-5.7509168982505805E-17</v>
      </c>
      <c r="U454">
        <v>1.05705112218857E-16</v>
      </c>
      <c r="V454">
        <v>-3.0896626412868499E-16</v>
      </c>
      <c r="W454">
        <v>1.76485627889633E-16</v>
      </c>
      <c r="X454">
        <v>4.9592927098274197E-17</v>
      </c>
      <c r="Y454">
        <v>-1.3504177331924401E-17</v>
      </c>
      <c r="Z454">
        <v>9.3132257461547896E-19</v>
      </c>
      <c r="AA454">
        <v>5.1222741603851299E-18</v>
      </c>
      <c r="AB454">
        <v>8.6612999439239501E-17</v>
      </c>
      <c r="AC454">
        <v>-3.1199306249618501E-17</v>
      </c>
      <c r="AD454">
        <v>-5.40167093276978E-17</v>
      </c>
      <c r="AE454">
        <v>-1.06170773506165E-16</v>
      </c>
      <c r="AF454">
        <v>-9.9185854196548506E-17</v>
      </c>
      <c r="AG454">
        <v>3.6321580410003698E-17</v>
      </c>
      <c r="AH454">
        <v>1.6484409570694E-16</v>
      </c>
      <c r="AI454">
        <v>-8.2422047853469903E-17</v>
      </c>
      <c r="AJ454">
        <v>-4.0978193283081101E-17</v>
      </c>
      <c r="AK454">
        <v>-3.4458935260772699E-17</v>
      </c>
      <c r="AL454">
        <v>-9.0338289737701399E-17</v>
      </c>
      <c r="AM454">
        <v>3.8184225559234597E-17</v>
      </c>
      <c r="AN454">
        <v>1.6391277313232401E-16</v>
      </c>
      <c r="AO454">
        <v>1.44354999065399E-16</v>
      </c>
      <c r="AP454">
        <v>-1.2293457984924301E-16</v>
      </c>
      <c r="AQ454">
        <v>1.16880983114243E-16</v>
      </c>
      <c r="AR454">
        <v>2.0163133740425101E-16</v>
      </c>
      <c r="AS454">
        <v>-8.4284693002700802E-17</v>
      </c>
    </row>
    <row r="455" spans="1:45" x14ac:dyDescent="0.3">
      <c r="A455" t="s">
        <v>723</v>
      </c>
      <c r="B455" t="s">
        <v>686</v>
      </c>
      <c r="C455" t="s">
        <v>681</v>
      </c>
      <c r="D455" t="s">
        <v>719</v>
      </c>
      <c r="E455" t="s">
        <v>21</v>
      </c>
      <c r="F455">
        <v>-25.638361313371199</v>
      </c>
      <c r="G455">
        <v>999</v>
      </c>
      <c r="H455">
        <v>728.21905533562006</v>
      </c>
      <c r="I455">
        <v>17913.404150571801</v>
      </c>
      <c r="J455">
        <v>0.31527574079999998</v>
      </c>
      <c r="K455">
        <v>0.31965736500000003</v>
      </c>
      <c r="L455">
        <v>0.32138821931356498</v>
      </c>
      <c r="M455">
        <v>0.32241427327970101</v>
      </c>
      <c r="N455">
        <v>0.32409609933667799</v>
      </c>
      <c r="O455">
        <v>0.324008296936801</v>
      </c>
      <c r="P455">
        <v>0.32056900830687601</v>
      </c>
      <c r="Q455">
        <v>0.31755220827648201</v>
      </c>
      <c r="R455">
        <v>0.315176562425248</v>
      </c>
      <c r="S455">
        <v>0.31422131168942702</v>
      </c>
      <c r="T455">
        <v>0.31248522179280502</v>
      </c>
      <c r="U455">
        <v>0.31140056340873401</v>
      </c>
      <c r="V455">
        <v>0.31118868331069299</v>
      </c>
      <c r="W455">
        <v>0.31166048200350399</v>
      </c>
      <c r="X455">
        <v>0.31326553576524602</v>
      </c>
      <c r="Y455">
        <v>0.31414739344350401</v>
      </c>
      <c r="Z455">
        <v>0.31493078304385802</v>
      </c>
      <c r="AA455">
        <v>0.31483376223634701</v>
      </c>
      <c r="AB455">
        <v>0.31592045823491999</v>
      </c>
      <c r="AC455">
        <v>0.31679564778761099</v>
      </c>
      <c r="AD455">
        <v>0.31826207703912801</v>
      </c>
      <c r="AE455">
        <v>0.32000624177417902</v>
      </c>
      <c r="AF455">
        <v>0.32132145541375201</v>
      </c>
      <c r="AG455">
        <v>0.32282029969276899</v>
      </c>
      <c r="AH455">
        <v>0.32466357646920102</v>
      </c>
      <c r="AI455">
        <v>0.32636712572155602</v>
      </c>
      <c r="AJ455">
        <v>0.32794028942493603</v>
      </c>
      <c r="AK455">
        <v>0.3295927700556</v>
      </c>
      <c r="AL455">
        <v>0.33138198437482702</v>
      </c>
      <c r="AM455">
        <v>0.33329826977184202</v>
      </c>
      <c r="AN455">
        <v>0.33528239794617998</v>
      </c>
      <c r="AO455">
        <v>0.33741155207801399</v>
      </c>
      <c r="AP455">
        <v>0.339850602290105</v>
      </c>
      <c r="AQ455">
        <v>0.34212733082165198</v>
      </c>
      <c r="AR455">
        <v>0.34455583749290403</v>
      </c>
      <c r="AS455">
        <v>0.34683825747536001</v>
      </c>
    </row>
    <row r="456" spans="1:45" x14ac:dyDescent="0.3">
      <c r="A456" t="s">
        <v>723</v>
      </c>
      <c r="B456" t="s">
        <v>685</v>
      </c>
      <c r="C456" t="s">
        <v>681</v>
      </c>
      <c r="D456" t="s">
        <v>719</v>
      </c>
      <c r="E456" t="s">
        <v>21</v>
      </c>
      <c r="F456">
        <v>-25.638361313371199</v>
      </c>
      <c r="G456">
        <v>999</v>
      </c>
      <c r="H456">
        <v>728.21905533562006</v>
      </c>
      <c r="I456">
        <v>17913.404150571801</v>
      </c>
      <c r="J456">
        <v>0.31527574079999998</v>
      </c>
      <c r="K456">
        <v>0.31965736500000003</v>
      </c>
      <c r="L456">
        <v>0.32138821931356498</v>
      </c>
      <c r="M456">
        <v>0.32241427327970101</v>
      </c>
      <c r="N456">
        <v>0.32409609933667799</v>
      </c>
      <c r="O456">
        <v>0.31157641782767398</v>
      </c>
      <c r="P456">
        <v>0.29779994927939502</v>
      </c>
      <c r="Q456">
        <v>0.28545901002618701</v>
      </c>
      <c r="R456">
        <v>0.27466478978904102</v>
      </c>
      <c r="S456">
        <v>0.26600813156113701</v>
      </c>
      <c r="T456">
        <v>0.25695534839502598</v>
      </c>
      <c r="U456">
        <v>0.24881678245460601</v>
      </c>
      <c r="V456">
        <v>0.24212551598724</v>
      </c>
      <c r="W456">
        <v>0.236722606132206</v>
      </c>
      <c r="X456">
        <v>0.23273871618344599</v>
      </c>
      <c r="Y456">
        <v>0.23317435567373099</v>
      </c>
      <c r="Z456">
        <v>0.234034447667892</v>
      </c>
      <c r="AA456">
        <v>0.23426556864807199</v>
      </c>
      <c r="AB456">
        <v>0.23547735346013199</v>
      </c>
      <c r="AC456">
        <v>0.23650330908414699</v>
      </c>
      <c r="AD456">
        <v>0.23869512754109901</v>
      </c>
      <c r="AE456">
        <v>0.241076159789644</v>
      </c>
      <c r="AF456">
        <v>0.24303327594360299</v>
      </c>
      <c r="AG456">
        <v>0.245038488452894</v>
      </c>
      <c r="AH456">
        <v>0.24722225031047701</v>
      </c>
      <c r="AI456">
        <v>0.249228401918415</v>
      </c>
      <c r="AJ456">
        <v>0.25107786382327901</v>
      </c>
      <c r="AK456">
        <v>0.252955745313033</v>
      </c>
      <c r="AL456">
        <v>0.25488901237099598</v>
      </c>
      <c r="AM456">
        <v>0.25687293011578499</v>
      </c>
      <c r="AN456">
        <v>0.25886583096784499</v>
      </c>
      <c r="AO456">
        <v>0.26093387549178398</v>
      </c>
      <c r="AP456">
        <v>0.263206035570407</v>
      </c>
      <c r="AQ456">
        <v>0.26532067998442199</v>
      </c>
      <c r="AR456">
        <v>0.267523109366059</v>
      </c>
      <c r="AS456">
        <v>0.26958761243345197</v>
      </c>
    </row>
    <row r="457" spans="1:45" x14ac:dyDescent="0.3">
      <c r="A457" t="s">
        <v>723</v>
      </c>
      <c r="B457" t="s">
        <v>684</v>
      </c>
      <c r="C457" t="s">
        <v>681</v>
      </c>
      <c r="D457" t="s">
        <v>719</v>
      </c>
      <c r="E457" t="s">
        <v>21</v>
      </c>
      <c r="F457">
        <v>-25.638361313371199</v>
      </c>
      <c r="G457">
        <v>999</v>
      </c>
      <c r="H457">
        <v>3687.4451696861302</v>
      </c>
      <c r="I457">
        <v>90707.178181731899</v>
      </c>
      <c r="J457">
        <v>0.113648225186655</v>
      </c>
      <c r="K457">
        <v>0.115236932124652</v>
      </c>
      <c r="L457">
        <v>2.62105326787135E-2</v>
      </c>
      <c r="M457">
        <v>2.6272509098514699E-2</v>
      </c>
      <c r="N457">
        <v>2.63817062940256E-2</v>
      </c>
      <c r="O457">
        <v>5.2654983726306302E-2</v>
      </c>
      <c r="P457">
        <v>5.1957047620117297E-2</v>
      </c>
      <c r="Q457">
        <v>5.13511961529588E-2</v>
      </c>
      <c r="R457">
        <v>5.0870602356250502E-2</v>
      </c>
      <c r="S457">
        <v>5.0630241817451002E-2</v>
      </c>
      <c r="T457">
        <v>5.0280645214807497E-2</v>
      </c>
      <c r="U457">
        <v>5.0039089185322898E-2</v>
      </c>
      <c r="V457">
        <v>4.9943211564974298E-2</v>
      </c>
      <c r="W457">
        <v>4.9961157635387901E-2</v>
      </c>
      <c r="X457">
        <v>5.0169327401279801E-2</v>
      </c>
      <c r="Y457">
        <v>5.0244400522682101E-2</v>
      </c>
      <c r="Z457">
        <v>5.03072557537836E-2</v>
      </c>
      <c r="AA457">
        <v>5.02377139140383E-2</v>
      </c>
      <c r="AB457">
        <v>5.0363968361690797E-2</v>
      </c>
      <c r="AC457">
        <v>5.0461619347974898E-2</v>
      </c>
      <c r="AD457">
        <v>5.0660950398542397E-2</v>
      </c>
      <c r="AE457">
        <v>5.0908533075237399E-2</v>
      </c>
      <c r="AF457">
        <v>5.1091815705044202E-2</v>
      </c>
      <c r="AG457">
        <v>5.1306190256126802E-2</v>
      </c>
      <c r="AH457">
        <v>5.1581730322185798E-2</v>
      </c>
      <c r="AI457">
        <v>5.1818129440698503E-2</v>
      </c>
      <c r="AJ457">
        <v>5.2037369432244303E-2</v>
      </c>
      <c r="AK457">
        <v>5.2274868360100701E-2</v>
      </c>
      <c r="AL457">
        <v>5.2532508475759E-2</v>
      </c>
      <c r="AM457">
        <v>5.2810704098522197E-2</v>
      </c>
      <c r="AN457">
        <v>5.3106193186706903E-2</v>
      </c>
      <c r="AO457">
        <v>5.3421865164901799E-2</v>
      </c>
      <c r="AP457">
        <v>5.3788516731344799E-2</v>
      </c>
      <c r="AQ457">
        <v>5.4132356596451298E-2</v>
      </c>
      <c r="AR457">
        <v>5.4491359337035299E-2</v>
      </c>
      <c r="AS457">
        <v>5.4838349617408799E-2</v>
      </c>
    </row>
    <row r="458" spans="1:45" x14ac:dyDescent="0.3">
      <c r="A458" t="s">
        <v>723</v>
      </c>
      <c r="B458" t="s">
        <v>682</v>
      </c>
      <c r="C458" t="s">
        <v>681</v>
      </c>
      <c r="D458" t="s">
        <v>719</v>
      </c>
      <c r="E458" t="s">
        <v>21</v>
      </c>
      <c r="F458">
        <v>-25.638361313371199</v>
      </c>
      <c r="G458">
        <v>999</v>
      </c>
      <c r="H458">
        <v>3687.4451696861302</v>
      </c>
      <c r="I458">
        <v>90707.178181731899</v>
      </c>
      <c r="J458">
        <v>0.113648225186655</v>
      </c>
      <c r="K458">
        <v>0.115236932124652</v>
      </c>
      <c r="L458">
        <v>2.62105326787135E-2</v>
      </c>
      <c r="M458">
        <v>2.6272509098514699E-2</v>
      </c>
      <c r="N458">
        <v>2.63817062940256E-2</v>
      </c>
      <c r="O458">
        <v>5.0636515579681199E-2</v>
      </c>
      <c r="P458">
        <v>4.8255671000166603E-2</v>
      </c>
      <c r="Q458">
        <v>4.6105165553568202E-2</v>
      </c>
      <c r="R458">
        <v>4.4163257144547802E-2</v>
      </c>
      <c r="S458">
        <v>4.2529814591595903E-2</v>
      </c>
      <c r="T458">
        <v>4.08396337842621E-2</v>
      </c>
      <c r="U458">
        <v>3.9284189454080902E-2</v>
      </c>
      <c r="V458">
        <v>3.7931549336641897E-2</v>
      </c>
      <c r="W458">
        <v>3.6898641580672902E-2</v>
      </c>
      <c r="X458">
        <v>3.6161157903948901E-2</v>
      </c>
      <c r="Y458">
        <v>3.5884027045776999E-2</v>
      </c>
      <c r="Z458">
        <v>3.5691691127057897E-2</v>
      </c>
      <c r="AA458">
        <v>3.5449717294494802E-2</v>
      </c>
      <c r="AB458">
        <v>3.5469349835167002E-2</v>
      </c>
      <c r="AC458">
        <v>3.5469513704212301E-2</v>
      </c>
      <c r="AD458">
        <v>3.5635622820080697E-2</v>
      </c>
      <c r="AE458">
        <v>3.5842518373911197E-2</v>
      </c>
      <c r="AF458">
        <v>3.6001147060663999E-2</v>
      </c>
      <c r="AG458">
        <v>3.6178809659263303E-2</v>
      </c>
      <c r="AH458">
        <v>3.6396636870580701E-2</v>
      </c>
      <c r="AI458">
        <v>3.6584306022925298E-2</v>
      </c>
      <c r="AJ458">
        <v>3.6759902794628797E-2</v>
      </c>
      <c r="AK458">
        <v>3.69690229394979E-2</v>
      </c>
      <c r="AL458">
        <v>3.7189989607637503E-2</v>
      </c>
      <c r="AM458">
        <v>3.7422793807295997E-2</v>
      </c>
      <c r="AN458">
        <v>3.76653760528564E-2</v>
      </c>
      <c r="AO458">
        <v>3.7919947469066601E-2</v>
      </c>
      <c r="AP458">
        <v>3.8208540653475898E-2</v>
      </c>
      <c r="AQ458">
        <v>3.8479092834371599E-2</v>
      </c>
      <c r="AR458">
        <v>3.8758620958482599E-2</v>
      </c>
      <c r="AS458">
        <v>3.9027828651356303E-2</v>
      </c>
    </row>
    <row r="459" spans="1:45" x14ac:dyDescent="0.3">
      <c r="A459" t="s">
        <v>722</v>
      </c>
      <c r="B459" t="s">
        <v>686</v>
      </c>
      <c r="C459" t="s">
        <v>681</v>
      </c>
      <c r="D459" t="s">
        <v>719</v>
      </c>
      <c r="E459" t="s">
        <v>721</v>
      </c>
      <c r="F459">
        <v>84.136704710059206</v>
      </c>
      <c r="G459">
        <v>1.1858896854963801</v>
      </c>
      <c r="H459">
        <v>2.0278322516177201</v>
      </c>
      <c r="I459">
        <v>48.296920106941897</v>
      </c>
      <c r="J459">
        <v>0.14000375440000001</v>
      </c>
      <c r="K459">
        <v>0.1405580471</v>
      </c>
      <c r="L459">
        <v>0.13582626338689199</v>
      </c>
      <c r="M459">
        <v>0.14073870139787401</v>
      </c>
      <c r="N459">
        <v>0.13591461855458001</v>
      </c>
      <c r="O459">
        <v>0.13706818716702601</v>
      </c>
      <c r="P459">
        <v>0.13597484040699401</v>
      </c>
      <c r="Q459">
        <v>0.134940708619985</v>
      </c>
      <c r="R459">
        <v>0.13401997352540199</v>
      </c>
      <c r="S459">
        <v>0.133455410653951</v>
      </c>
      <c r="T459">
        <v>0.132473617956336</v>
      </c>
      <c r="U459">
        <v>0.130792550697264</v>
      </c>
      <c r="V459">
        <v>0.12959346267482599</v>
      </c>
      <c r="W459">
        <v>0.12875380540725201</v>
      </c>
      <c r="X459">
        <v>0.128432380650051</v>
      </c>
      <c r="Y459">
        <v>0.12746285886939601</v>
      </c>
      <c r="Z459">
        <v>0.126570114062101</v>
      </c>
      <c r="AA459">
        <v>0.125455312946681</v>
      </c>
      <c r="AB459">
        <v>0.124854088939347</v>
      </c>
      <c r="AC459">
        <v>0.1243434431314</v>
      </c>
      <c r="AD459">
        <v>0.12416290251158001</v>
      </c>
      <c r="AE459">
        <v>0.124157392292658</v>
      </c>
      <c r="AF459">
        <v>0.124127727999048</v>
      </c>
      <c r="AG459">
        <v>0.124254247384372</v>
      </c>
      <c r="AH459">
        <v>0.124663372215559</v>
      </c>
      <c r="AI459">
        <v>0.124742886414339</v>
      </c>
      <c r="AJ459">
        <v>0.124857214170144</v>
      </c>
      <c r="AK459">
        <v>0.12519766603144</v>
      </c>
      <c r="AL459">
        <v>0.12569801126250901</v>
      </c>
      <c r="AM459">
        <v>0.126366397366168</v>
      </c>
      <c r="AN459">
        <v>0.12715638050029901</v>
      </c>
      <c r="AO459">
        <v>0.12812430230049399</v>
      </c>
      <c r="AP459">
        <v>0.12929879577095199</v>
      </c>
      <c r="AQ459">
        <v>0.13050993238794001</v>
      </c>
      <c r="AR459">
        <v>0.13193353048550599</v>
      </c>
      <c r="AS459">
        <v>0.13350886486868699</v>
      </c>
    </row>
    <row r="460" spans="1:45" x14ac:dyDescent="0.3">
      <c r="A460" t="s">
        <v>722</v>
      </c>
      <c r="B460" t="s">
        <v>685</v>
      </c>
      <c r="C460" t="s">
        <v>681</v>
      </c>
      <c r="D460" t="s">
        <v>719</v>
      </c>
      <c r="E460" t="s">
        <v>721</v>
      </c>
      <c r="F460">
        <v>84.136704710059206</v>
      </c>
      <c r="G460">
        <v>1.1858896854963801</v>
      </c>
      <c r="H460">
        <v>2.0278322516177201</v>
      </c>
      <c r="I460">
        <v>48.296920106941897</v>
      </c>
      <c r="J460">
        <v>0.14000375440000001</v>
      </c>
      <c r="K460">
        <v>0.1405580471</v>
      </c>
      <c r="L460">
        <v>0.13582626338689199</v>
      </c>
      <c r="M460">
        <v>0.14073870139787401</v>
      </c>
      <c r="N460">
        <v>0.13591461855458001</v>
      </c>
      <c r="O460">
        <v>0.135380666330569</v>
      </c>
      <c r="P460">
        <v>0.132790807550108</v>
      </c>
      <c r="Q460">
        <v>0.13035052950429901</v>
      </c>
      <c r="R460">
        <v>0.12810416148183501</v>
      </c>
      <c r="S460">
        <v>0.12627246860470301</v>
      </c>
      <c r="T460">
        <v>0.124098159487623</v>
      </c>
      <c r="U460">
        <v>0.121325249500893</v>
      </c>
      <c r="V460">
        <v>0.119073778846974</v>
      </c>
      <c r="W460">
        <v>0.11721683892531</v>
      </c>
      <c r="X460">
        <v>0.11588678212782901</v>
      </c>
      <c r="Y460">
        <v>0.114249882161095</v>
      </c>
      <c r="Z460">
        <v>0.112740046757853</v>
      </c>
      <c r="AA460">
        <v>0.111071563726393</v>
      </c>
      <c r="AB460">
        <v>0.109893892632285</v>
      </c>
      <c r="AC460">
        <v>0.108837090253909</v>
      </c>
      <c r="AD460">
        <v>0.10811565055183101</v>
      </c>
      <c r="AE460">
        <v>0.107541691718752</v>
      </c>
      <c r="AF460">
        <v>0.107053765844269</v>
      </c>
      <c r="AG460">
        <v>0.106952656718307</v>
      </c>
      <c r="AH460">
        <v>0.107138266491714</v>
      </c>
      <c r="AI460">
        <v>0.10707595543824699</v>
      </c>
      <c r="AJ460">
        <v>0.107092313378579</v>
      </c>
      <c r="AK460">
        <v>0.10730291065655299</v>
      </c>
      <c r="AL460">
        <v>0.107650746790378</v>
      </c>
      <c r="AM460">
        <v>0.108143689431197</v>
      </c>
      <c r="AN460">
        <v>0.108740701216407</v>
      </c>
      <c r="AO460">
        <v>0.109489754194411</v>
      </c>
      <c r="AP460">
        <v>0.110414945984942</v>
      </c>
      <c r="AQ460">
        <v>0.111371014394861</v>
      </c>
      <c r="AR460">
        <v>0.112508223626916</v>
      </c>
      <c r="AS460">
        <v>0.11377424676848499</v>
      </c>
    </row>
    <row r="461" spans="1:45" x14ac:dyDescent="0.3">
      <c r="A461" t="s">
        <v>722</v>
      </c>
      <c r="B461" t="s">
        <v>684</v>
      </c>
      <c r="C461" t="s">
        <v>681</v>
      </c>
      <c r="D461" t="s">
        <v>719</v>
      </c>
      <c r="E461" t="s">
        <v>721</v>
      </c>
      <c r="F461">
        <v>84.136704710059206</v>
      </c>
      <c r="G461">
        <v>1.1858896854963801</v>
      </c>
      <c r="H461">
        <v>9.9779043888016901</v>
      </c>
      <c r="I461">
        <v>245.44569739388601</v>
      </c>
      <c r="J461">
        <v>1.29095641113174E-2</v>
      </c>
      <c r="K461">
        <v>1.31628162724948E-2</v>
      </c>
      <c r="L461">
        <v>1.17962391535408E-2</v>
      </c>
      <c r="M461">
        <v>1.1666977291700501E-2</v>
      </c>
      <c r="N461">
        <v>1.15182500680048E-2</v>
      </c>
      <c r="O461">
        <v>5.5586035533584502E-2</v>
      </c>
      <c r="P461">
        <v>5.6418284394956698E-2</v>
      </c>
      <c r="Q461">
        <v>5.7194853948120898E-2</v>
      </c>
      <c r="R461">
        <v>5.7943697245877397E-2</v>
      </c>
      <c r="S461">
        <v>5.8801272558924401E-2</v>
      </c>
      <c r="T461">
        <v>5.62634964720021E-2</v>
      </c>
      <c r="U461">
        <v>5.3144492249563198E-2</v>
      </c>
      <c r="V461">
        <v>5.04719880123395E-2</v>
      </c>
      <c r="W461">
        <v>4.81664102250874E-2</v>
      </c>
      <c r="X461">
        <v>4.6258084455259203E-2</v>
      </c>
      <c r="Y461">
        <v>4.2414374642837899E-2</v>
      </c>
      <c r="Z461">
        <v>3.9078090489697702E-2</v>
      </c>
      <c r="AA461">
        <v>3.6090623785339102E-2</v>
      </c>
      <c r="AB461">
        <v>3.3619411448172001E-2</v>
      </c>
      <c r="AC461">
        <v>3.1472965361285098E-2</v>
      </c>
      <c r="AD461">
        <v>2.9682708810536602E-2</v>
      </c>
      <c r="AE461">
        <v>2.8234345384755902E-2</v>
      </c>
      <c r="AF461">
        <v>2.71308390894596E-2</v>
      </c>
      <c r="AG461">
        <v>2.6478389938416499E-2</v>
      </c>
      <c r="AH461">
        <v>2.6021190313457499E-2</v>
      </c>
      <c r="AI461">
        <v>2.6208838694833099E-2</v>
      </c>
      <c r="AJ461">
        <v>2.5895661073024202E-2</v>
      </c>
      <c r="AK461">
        <v>2.7507010724564199E-2</v>
      </c>
      <c r="AL461">
        <v>2.90179066193498E-2</v>
      </c>
      <c r="AM461">
        <v>3.0451391560414098E-2</v>
      </c>
      <c r="AN461">
        <v>3.1823476923377898E-2</v>
      </c>
      <c r="AO461">
        <v>3.3167248695816803E-2</v>
      </c>
      <c r="AP461">
        <v>3.4514488439848903E-2</v>
      </c>
      <c r="AQ461">
        <v>3.5809852883100297E-2</v>
      </c>
      <c r="AR461">
        <v>3.68932595808679E-2</v>
      </c>
      <c r="AS461">
        <v>3.79836987746291E-2</v>
      </c>
    </row>
    <row r="462" spans="1:45" x14ac:dyDescent="0.3">
      <c r="A462" t="s">
        <v>722</v>
      </c>
      <c r="B462" t="s">
        <v>682</v>
      </c>
      <c r="C462" t="s">
        <v>681</v>
      </c>
      <c r="D462" t="s">
        <v>719</v>
      </c>
      <c r="E462" t="s">
        <v>721</v>
      </c>
      <c r="F462">
        <v>84.136704710059206</v>
      </c>
      <c r="G462">
        <v>1.1858896854963801</v>
      </c>
      <c r="H462">
        <v>9.9779043888016901</v>
      </c>
      <c r="I462">
        <v>245.44569739388601</v>
      </c>
      <c r="J462">
        <v>1.29120141966922E-2</v>
      </c>
      <c r="K462">
        <v>1.3167776199667599E-2</v>
      </c>
      <c r="L462">
        <v>1.18015246383692E-2</v>
      </c>
      <c r="M462">
        <v>1.16745079926626E-2</v>
      </c>
      <c r="N462">
        <v>1.1526369208343001E-2</v>
      </c>
      <c r="O462">
        <v>5.4926415465842801E-2</v>
      </c>
      <c r="P462">
        <v>5.5134934498335897E-2</v>
      </c>
      <c r="Q462">
        <v>5.5305604979931901E-2</v>
      </c>
      <c r="R462">
        <v>5.5466058373310201E-2</v>
      </c>
      <c r="S462">
        <v>5.5744787195832299E-2</v>
      </c>
      <c r="T462">
        <v>5.2860109792165197E-2</v>
      </c>
      <c r="U462">
        <v>4.9494512791209998E-2</v>
      </c>
      <c r="V462">
        <v>4.6608995270405101E-2</v>
      </c>
      <c r="W462">
        <v>4.4117526811483503E-2</v>
      </c>
      <c r="X462">
        <v>4.20373981842301E-2</v>
      </c>
      <c r="Y462">
        <v>3.8258835583932699E-2</v>
      </c>
      <c r="Z462">
        <v>3.50111340611702E-2</v>
      </c>
      <c r="AA462">
        <v>3.2123829703347803E-2</v>
      </c>
      <c r="AB462">
        <v>2.97377086529114E-2</v>
      </c>
      <c r="AC462">
        <v>2.7671353286786299E-2</v>
      </c>
      <c r="AD462">
        <v>2.59450416201185E-2</v>
      </c>
      <c r="AE462">
        <v>2.4529845842189101E-2</v>
      </c>
      <c r="AF462">
        <v>2.3467983107396E-2</v>
      </c>
      <c r="AG462">
        <v>2.2883904617538999E-2</v>
      </c>
      <c r="AH462">
        <v>2.2476674781513901E-2</v>
      </c>
      <c r="AI462">
        <v>2.2618348044248199E-2</v>
      </c>
      <c r="AJ462">
        <v>2.2342500083902001E-2</v>
      </c>
      <c r="AK462">
        <v>2.37239099211018E-2</v>
      </c>
      <c r="AL462">
        <v>2.5015766670372998E-2</v>
      </c>
      <c r="AM462">
        <v>2.6239534933551099E-2</v>
      </c>
      <c r="AN462">
        <v>2.7409228957274899E-2</v>
      </c>
      <c r="AO462">
        <v>2.8554334553597301E-2</v>
      </c>
      <c r="AP462">
        <v>2.97025768019052E-2</v>
      </c>
      <c r="AQ462">
        <v>3.0808042007614202E-2</v>
      </c>
      <c r="AR462">
        <v>3.1736687952596002E-2</v>
      </c>
      <c r="AS462">
        <v>3.2667618117877301E-2</v>
      </c>
    </row>
    <row r="463" spans="1:45" x14ac:dyDescent="0.3">
      <c r="A463" t="s">
        <v>720</v>
      </c>
      <c r="B463" t="s">
        <v>686</v>
      </c>
      <c r="C463" t="s">
        <v>681</v>
      </c>
      <c r="D463" t="s">
        <v>719</v>
      </c>
      <c r="E463" t="s">
        <v>20</v>
      </c>
      <c r="F463">
        <v>999</v>
      </c>
      <c r="G463">
        <v>0</v>
      </c>
      <c r="H463">
        <v>-44.305602045835101</v>
      </c>
      <c r="I463">
        <v>-1089.8700738003399</v>
      </c>
      <c r="J463">
        <v>0.26053697740005999</v>
      </c>
      <c r="K463">
        <v>0.28147403961835998</v>
      </c>
      <c r="L463">
        <v>0.27594123159596501</v>
      </c>
      <c r="M463">
        <v>0.22859959751287701</v>
      </c>
      <c r="N463">
        <v>0.209984049020742</v>
      </c>
      <c r="O463">
        <v>0.22718520907906301</v>
      </c>
      <c r="P463">
        <v>0.22141780414854001</v>
      </c>
      <c r="Q463">
        <v>0.216410344555371</v>
      </c>
      <c r="R463">
        <v>0.212135671683087</v>
      </c>
      <c r="S463">
        <v>0.20969374965667101</v>
      </c>
      <c r="T463">
        <v>0.20614053979406599</v>
      </c>
      <c r="U463">
        <v>0.20332135954237601</v>
      </c>
      <c r="V463">
        <v>0.201441184306204</v>
      </c>
      <c r="W463">
        <v>0.20054663975367401</v>
      </c>
      <c r="X463">
        <v>0.20104750172273</v>
      </c>
      <c r="Y463">
        <v>0.19648006676098201</v>
      </c>
      <c r="Z463">
        <v>0.19233395966469999</v>
      </c>
      <c r="AA463">
        <v>0.187697875058076</v>
      </c>
      <c r="AB463">
        <v>0.184901001484366</v>
      </c>
      <c r="AC463">
        <v>0.18235659215858599</v>
      </c>
      <c r="AD463">
        <v>0.18078818645005401</v>
      </c>
      <c r="AE463">
        <v>0.17979031795171099</v>
      </c>
      <c r="AF463">
        <v>0.17859960984513101</v>
      </c>
      <c r="AG463">
        <v>0.177739390352744</v>
      </c>
      <c r="AH463">
        <v>0.177476556728034</v>
      </c>
      <c r="AI463">
        <v>0.17355009184290199</v>
      </c>
      <c r="AJ463">
        <v>0.17006540315671201</v>
      </c>
      <c r="AK463">
        <v>0.167458073132811</v>
      </c>
      <c r="AL463">
        <v>0.165495900312079</v>
      </c>
      <c r="AM463">
        <v>0.163890278416982</v>
      </c>
      <c r="AN463">
        <v>0.16241316950065901</v>
      </c>
      <c r="AO463">
        <v>0.161321372851494</v>
      </c>
      <c r="AP463">
        <v>0.16080896074780501</v>
      </c>
      <c r="AQ463">
        <v>0.160291909172603</v>
      </c>
      <c r="AR463">
        <v>0.16046091213198699</v>
      </c>
      <c r="AS463">
        <v>0.160973721238892</v>
      </c>
    </row>
    <row r="464" spans="1:45" x14ac:dyDescent="0.3">
      <c r="A464" t="s">
        <v>720</v>
      </c>
      <c r="B464" t="s">
        <v>685</v>
      </c>
      <c r="C464" t="s">
        <v>681</v>
      </c>
      <c r="D464" t="s">
        <v>719</v>
      </c>
      <c r="E464" t="s">
        <v>20</v>
      </c>
      <c r="F464">
        <v>999</v>
      </c>
      <c r="G464">
        <v>0</v>
      </c>
      <c r="H464">
        <v>-44.305602045835101</v>
      </c>
      <c r="I464">
        <v>-1089.8700738003399</v>
      </c>
      <c r="J464">
        <v>0.26053697740005999</v>
      </c>
      <c r="K464">
        <v>0.28147403961835998</v>
      </c>
      <c r="L464">
        <v>0.27594123159596501</v>
      </c>
      <c r="M464">
        <v>0.22859959751287701</v>
      </c>
      <c r="N464">
        <v>0.209984049020742</v>
      </c>
      <c r="O464">
        <v>0.21044296533159601</v>
      </c>
      <c r="P464">
        <v>0.19154413642750401</v>
      </c>
      <c r="Q464">
        <v>0.175044346257624</v>
      </c>
      <c r="R464">
        <v>0.16057638113846001</v>
      </c>
      <c r="S464">
        <v>0.148843287878106</v>
      </c>
      <c r="T464">
        <v>0.13635803593224999</v>
      </c>
      <c r="U464">
        <v>0.12472745343043901</v>
      </c>
      <c r="V464">
        <v>0.11453072249823899</v>
      </c>
      <c r="W464">
        <v>0.10573679319573601</v>
      </c>
      <c r="X464">
        <v>9.8507696973873501E-2</v>
      </c>
      <c r="Y464">
        <v>9.6930721412261597E-2</v>
      </c>
      <c r="Z464">
        <v>9.6314282809967205E-2</v>
      </c>
      <c r="AA464">
        <v>9.5330252269132595E-2</v>
      </c>
      <c r="AB464">
        <v>9.5701322684392603E-2</v>
      </c>
      <c r="AC464">
        <v>9.6198054475560305E-2</v>
      </c>
      <c r="AD464">
        <v>9.8207740446682706E-2</v>
      </c>
      <c r="AE464">
        <v>0.100565378006652</v>
      </c>
      <c r="AF464">
        <v>0.102596628735803</v>
      </c>
      <c r="AG464">
        <v>0.104677100037546</v>
      </c>
      <c r="AH464">
        <v>0.10702537260179899</v>
      </c>
      <c r="AI464">
        <v>0.109008115483235</v>
      </c>
      <c r="AJ464">
        <v>0.11089777896682999</v>
      </c>
      <c r="AK464">
        <v>0.113087506398323</v>
      </c>
      <c r="AL464">
        <v>0.115450692614154</v>
      </c>
      <c r="AM464">
        <v>0.117777528965543</v>
      </c>
      <c r="AN464">
        <v>0.11992509966326501</v>
      </c>
      <c r="AO464">
        <v>0.12212112084754401</v>
      </c>
      <c r="AP464">
        <v>0.12453419529174301</v>
      </c>
      <c r="AQ464">
        <v>0.12667790024794201</v>
      </c>
      <c r="AR464">
        <v>0.12921832128775801</v>
      </c>
      <c r="AS464">
        <v>0.13185265877979299</v>
      </c>
    </row>
    <row r="465" spans="1:45" x14ac:dyDescent="0.3">
      <c r="A465" t="s">
        <v>720</v>
      </c>
      <c r="B465" t="s">
        <v>684</v>
      </c>
      <c r="C465" t="s">
        <v>681</v>
      </c>
      <c r="D465" t="s">
        <v>719</v>
      </c>
      <c r="E465" t="s">
        <v>20</v>
      </c>
      <c r="F465">
        <v>999</v>
      </c>
      <c r="G465">
        <v>0</v>
      </c>
      <c r="H465">
        <v>-46.396064826011397</v>
      </c>
      <c r="I465">
        <v>-1141.2932058492099</v>
      </c>
      <c r="J465">
        <v>2.16095941141248E-16</v>
      </c>
      <c r="K465">
        <v>-5.2183168008923499E-16</v>
      </c>
      <c r="L465">
        <v>1.07567757368088E-16</v>
      </c>
      <c r="M465">
        <v>-1.41793861985207E-16</v>
      </c>
      <c r="N465">
        <v>-2.15135514736176E-16</v>
      </c>
      <c r="O465">
        <v>2.6933030647509602E-2</v>
      </c>
      <c r="P465">
        <v>4.8980119110240597E-2</v>
      </c>
      <c r="Q465">
        <v>6.7099328405235706E-2</v>
      </c>
      <c r="R465">
        <v>8.2103368984557196E-2</v>
      </c>
      <c r="S465">
        <v>9.5161113024098701E-2</v>
      </c>
      <c r="T465">
        <v>9.7100670426123706E-2</v>
      </c>
      <c r="U465">
        <v>9.8392772424868394E-2</v>
      </c>
      <c r="V465">
        <v>0.114026344163279</v>
      </c>
      <c r="W465">
        <v>0.12737741464107999</v>
      </c>
      <c r="X465">
        <v>0.139380387164422</v>
      </c>
      <c r="Y465">
        <v>0.14581628585371501</v>
      </c>
      <c r="Z465">
        <v>0.150648298932686</v>
      </c>
      <c r="AA465">
        <v>0.15350725810583199</v>
      </c>
      <c r="AB465">
        <v>0.15659676389503999</v>
      </c>
      <c r="AC465">
        <v>0.158900485923268</v>
      </c>
      <c r="AD465">
        <v>0.16124849197195701</v>
      </c>
      <c r="AE465">
        <v>0.16346425643571799</v>
      </c>
      <c r="AF465">
        <v>0.16497579392539</v>
      </c>
      <c r="AG465">
        <v>0.16635325440082999</v>
      </c>
      <c r="AH465">
        <v>0.167931862422981</v>
      </c>
      <c r="AI465">
        <v>0.16571729145988701</v>
      </c>
      <c r="AJ465">
        <v>0.16362651369629</v>
      </c>
      <c r="AK465">
        <v>0.16214161222020099</v>
      </c>
      <c r="AL465">
        <v>0.161091992282034</v>
      </c>
      <c r="AM465">
        <v>0.16023643399794099</v>
      </c>
      <c r="AN465">
        <v>0.15938096965594201</v>
      </c>
      <c r="AO465">
        <v>0.15880062502456599</v>
      </c>
      <c r="AP465">
        <v>0.15870716693683801</v>
      </c>
      <c r="AQ465">
        <v>0.158540526298274</v>
      </c>
      <c r="AR465">
        <v>0.15899621003423001</v>
      </c>
      <c r="AS465">
        <v>0.15974694706284001</v>
      </c>
    </row>
    <row r="466" spans="1:45" x14ac:dyDescent="0.3">
      <c r="A466" t="s">
        <v>720</v>
      </c>
      <c r="B466" t="s">
        <v>682</v>
      </c>
      <c r="C466" t="s">
        <v>681</v>
      </c>
      <c r="D466" t="s">
        <v>719</v>
      </c>
      <c r="E466" t="s">
        <v>20</v>
      </c>
      <c r="F466">
        <v>999</v>
      </c>
      <c r="G466">
        <v>0</v>
      </c>
      <c r="H466">
        <v>-46.396064826011397</v>
      </c>
      <c r="I466">
        <v>-1141.2932058492099</v>
      </c>
      <c r="J466">
        <v>2.16095941141248E-16</v>
      </c>
      <c r="K466">
        <v>-5.2183168008923499E-16</v>
      </c>
      <c r="L466">
        <v>1.07567757368088E-16</v>
      </c>
      <c r="M466">
        <v>-1.41793861985207E-16</v>
      </c>
      <c r="N466">
        <v>-2.15135514736176E-16</v>
      </c>
      <c r="O466">
        <v>2.48782869208088E-2</v>
      </c>
      <c r="P466">
        <v>4.2225842101844699E-2</v>
      </c>
      <c r="Q466">
        <v>5.4118123060402597E-2</v>
      </c>
      <c r="R466">
        <v>6.2029281365753502E-2</v>
      </c>
      <c r="S466">
        <v>6.7474408974618594E-2</v>
      </c>
      <c r="T466">
        <v>6.42231475007429E-2</v>
      </c>
      <c r="U466">
        <v>6.0449045691300302E-2</v>
      </c>
      <c r="V466">
        <v>6.5067674330444497E-2</v>
      </c>
      <c r="W466">
        <v>6.7569921247715506E-2</v>
      </c>
      <c r="X466">
        <v>6.8888800492742597E-2</v>
      </c>
      <c r="Y466">
        <v>7.2376602538273396E-2</v>
      </c>
      <c r="Z466">
        <v>7.5720943412211597E-2</v>
      </c>
      <c r="AA466">
        <v>7.8120489977993701E-2</v>
      </c>
      <c r="AB466">
        <v>8.1112670830504593E-2</v>
      </c>
      <c r="AC466">
        <v>8.3817763538567194E-2</v>
      </c>
      <c r="AD466">
        <v>8.7583462932633402E-2</v>
      </c>
      <c r="AE466">
        <v>9.1425067356803294E-2</v>
      </c>
      <c r="AF466">
        <v>9.4763298738674506E-2</v>
      </c>
      <c r="AG466">
        <v>9.7965265487362493E-2</v>
      </c>
      <c r="AH466">
        <v>0.10126407307114201</v>
      </c>
      <c r="AI466">
        <v>0.10408337637319399</v>
      </c>
      <c r="AJ466">
        <v>0.10669461842408801</v>
      </c>
      <c r="AK466">
        <v>0.109493169186652</v>
      </c>
      <c r="AL466">
        <v>0.11237481914348001</v>
      </c>
      <c r="AM466">
        <v>0.115148369231844</v>
      </c>
      <c r="AN466">
        <v>0.11768304601002701</v>
      </c>
      <c r="AO466">
        <v>0.12021007096474901</v>
      </c>
      <c r="AP466">
        <v>0.122903931406146</v>
      </c>
      <c r="AQ466">
        <v>0.125291445617252</v>
      </c>
      <c r="AR466">
        <v>0.12803669125863701</v>
      </c>
      <c r="AS466">
        <v>0.130845926148354</v>
      </c>
    </row>
    <row r="467" spans="1:45" hidden="1" x14ac:dyDescent="0.3">
      <c r="A467" t="s">
        <v>718</v>
      </c>
      <c r="B467" t="s">
        <v>686</v>
      </c>
      <c r="C467" t="s">
        <v>681</v>
      </c>
      <c r="D467" t="s">
        <v>680</v>
      </c>
      <c r="E467" t="s">
        <v>693</v>
      </c>
      <c r="F467">
        <v>147.59255405830399</v>
      </c>
      <c r="G467">
        <v>0.67746269122549196</v>
      </c>
      <c r="H467">
        <v>1.60492948408578</v>
      </c>
      <c r="I467">
        <v>36.559260415960601</v>
      </c>
      <c r="J467">
        <v>1.9690829814529001</v>
      </c>
      <c r="K467">
        <v>1.8159156508637</v>
      </c>
      <c r="L467">
        <v>1.67022231740464</v>
      </c>
      <c r="M467">
        <v>2.0473556311905101</v>
      </c>
      <c r="N467">
        <v>1.8955637762830699</v>
      </c>
      <c r="O467">
        <v>1.8547485799564001</v>
      </c>
      <c r="P467">
        <v>1.8221079803287601</v>
      </c>
      <c r="Q467">
        <v>1.80162749919652</v>
      </c>
      <c r="R467">
        <v>1.7898703896319299</v>
      </c>
      <c r="S467">
        <v>1.7820892022988</v>
      </c>
      <c r="T467">
        <v>1.77011798857507</v>
      </c>
      <c r="U467">
        <v>1.75990056666395</v>
      </c>
      <c r="V467">
        <v>1.7544483681895</v>
      </c>
      <c r="W467">
        <v>1.75200478774003</v>
      </c>
      <c r="X467">
        <v>1.7549603238173399</v>
      </c>
      <c r="Y467">
        <v>1.75633816812565</v>
      </c>
      <c r="Z467">
        <v>1.75755922504288</v>
      </c>
      <c r="AA467">
        <v>1.7542917946261301</v>
      </c>
      <c r="AB467">
        <v>1.7553295267101301</v>
      </c>
      <c r="AC467">
        <v>1.7577647361636499</v>
      </c>
      <c r="AD467">
        <v>1.7633550900974599</v>
      </c>
      <c r="AE467">
        <v>1.76993138789252</v>
      </c>
      <c r="AF467">
        <v>1.7759204096229699</v>
      </c>
      <c r="AG467">
        <v>1.78255415915233</v>
      </c>
      <c r="AH467">
        <v>1.7902213777534799</v>
      </c>
      <c r="AI467">
        <v>1.7971868865570999</v>
      </c>
      <c r="AJ467">
        <v>1.80291933841135</v>
      </c>
      <c r="AK467">
        <v>1.80988971688767</v>
      </c>
      <c r="AL467">
        <v>1.8172495834517399</v>
      </c>
      <c r="AM467">
        <v>1.82502960607467</v>
      </c>
      <c r="AN467">
        <v>1.8325729555493899</v>
      </c>
      <c r="AO467">
        <v>1.84081447146655</v>
      </c>
      <c r="AP467">
        <v>1.8488819804018199</v>
      </c>
      <c r="AQ467">
        <v>1.85591701495322</v>
      </c>
      <c r="AR467">
        <v>1.86387192316263</v>
      </c>
      <c r="AS467">
        <v>1.87255318725229</v>
      </c>
    </row>
    <row r="468" spans="1:45" hidden="1" x14ac:dyDescent="0.3">
      <c r="A468" t="s">
        <v>718</v>
      </c>
      <c r="B468" t="s">
        <v>685</v>
      </c>
      <c r="C468" t="s">
        <v>681</v>
      </c>
      <c r="D468" t="s">
        <v>680</v>
      </c>
      <c r="E468" t="s">
        <v>693</v>
      </c>
      <c r="F468">
        <v>147.59255405830399</v>
      </c>
      <c r="G468">
        <v>0.67746269122549196</v>
      </c>
      <c r="H468">
        <v>1.60492948408578</v>
      </c>
      <c r="I468">
        <v>36.559260415960601</v>
      </c>
      <c r="J468">
        <v>1.9690829814529001</v>
      </c>
      <c r="K468">
        <v>1.8159156508637</v>
      </c>
      <c r="L468">
        <v>1.67022231740464</v>
      </c>
      <c r="M468">
        <v>2.0473556311905101</v>
      </c>
      <c r="N468">
        <v>1.8955637762830699</v>
      </c>
      <c r="O468">
        <v>1.8547485799564001</v>
      </c>
      <c r="P468">
        <v>1.8221079803287601</v>
      </c>
      <c r="Q468">
        <v>1.80162749919652</v>
      </c>
      <c r="R468">
        <v>1.7898703896319299</v>
      </c>
      <c r="S468">
        <v>1.7820892022988</v>
      </c>
      <c r="T468">
        <v>1.77011798857507</v>
      </c>
      <c r="U468">
        <v>1.75990056666395</v>
      </c>
      <c r="V468">
        <v>1.7544483681895</v>
      </c>
      <c r="W468">
        <v>1.75200478774003</v>
      </c>
      <c r="X468">
        <v>1.7549603238173399</v>
      </c>
      <c r="Y468">
        <v>1.70574071676927</v>
      </c>
      <c r="Z468">
        <v>1.6594093441200299</v>
      </c>
      <c r="AA468">
        <v>1.61084937260379</v>
      </c>
      <c r="AB468">
        <v>1.5654210725958899</v>
      </c>
      <c r="AC468">
        <v>1.52214987347931</v>
      </c>
      <c r="AD468">
        <v>1.48267405628841</v>
      </c>
      <c r="AE468">
        <v>1.44501789980368</v>
      </c>
      <c r="AF468">
        <v>1.4068128387494301</v>
      </c>
      <c r="AG468">
        <v>1.3689122725390499</v>
      </c>
      <c r="AH468">
        <v>1.3334062430999001</v>
      </c>
      <c r="AI468">
        <v>1.3011658763976299</v>
      </c>
      <c r="AJ468">
        <v>1.2695803582578999</v>
      </c>
      <c r="AK468">
        <v>1.2395141472103901</v>
      </c>
      <c r="AL468">
        <v>1.21052091542197</v>
      </c>
      <c r="AM468">
        <v>1.1856884055021</v>
      </c>
      <c r="AN468">
        <v>1.16370804721594</v>
      </c>
      <c r="AO468">
        <v>1.1502369992096</v>
      </c>
      <c r="AP468">
        <v>1.1395524358569</v>
      </c>
      <c r="AQ468">
        <v>1.1303814360625899</v>
      </c>
      <c r="AR468">
        <v>1.12938547798595</v>
      </c>
      <c r="AS468">
        <v>1.1306376096368</v>
      </c>
    </row>
    <row r="469" spans="1:45" hidden="1" x14ac:dyDescent="0.3">
      <c r="A469" t="s">
        <v>718</v>
      </c>
      <c r="B469" t="s">
        <v>684</v>
      </c>
      <c r="C469" t="s">
        <v>681</v>
      </c>
      <c r="D469" t="s">
        <v>680</v>
      </c>
      <c r="E469" t="s">
        <v>693</v>
      </c>
      <c r="F469">
        <v>147.59255405830399</v>
      </c>
      <c r="G469">
        <v>0.67746269122549196</v>
      </c>
      <c r="H469">
        <v>5.5571983184785703</v>
      </c>
      <c r="I469">
        <v>128.53927480441001</v>
      </c>
      <c r="J469">
        <v>4.4540253717708998E-2</v>
      </c>
      <c r="K469">
        <v>2.7543797409409002E-2</v>
      </c>
      <c r="L469">
        <v>7.1833545697256298E-3</v>
      </c>
      <c r="M469">
        <v>-1.13024990753574E-2</v>
      </c>
      <c r="N469">
        <v>-1.0257339789597E-2</v>
      </c>
      <c r="O469">
        <v>-2.7929103524872202E-2</v>
      </c>
      <c r="P469">
        <v>-2.78782227703901E-2</v>
      </c>
      <c r="Q469">
        <v>-2.7138291895581101E-2</v>
      </c>
      <c r="R469">
        <v>-2.6451529922024802E-2</v>
      </c>
      <c r="S469">
        <v>-2.5880088284851398E-2</v>
      </c>
      <c r="T469">
        <v>-2.5251123710042601E-2</v>
      </c>
      <c r="U469">
        <v>-2.46690777025955E-2</v>
      </c>
      <c r="V469">
        <v>-2.4209746493374401E-2</v>
      </c>
      <c r="W469">
        <v>-2.3819473542527898E-2</v>
      </c>
      <c r="X469">
        <v>-2.3633943252736399E-2</v>
      </c>
      <c r="Y469">
        <v>2.2230439209581801E-2</v>
      </c>
      <c r="Z469">
        <v>4.6629347977717998E-2</v>
      </c>
      <c r="AA469">
        <v>6.8097362803127906E-2</v>
      </c>
      <c r="AB469">
        <v>0.10200832480811101</v>
      </c>
      <c r="AC469">
        <v>0.13542544607379001</v>
      </c>
      <c r="AD469">
        <v>0.17073069690923201</v>
      </c>
      <c r="AE469">
        <v>0.209486225485565</v>
      </c>
      <c r="AF469">
        <v>0.249481328556797</v>
      </c>
      <c r="AG469">
        <v>0.29305203647101702</v>
      </c>
      <c r="AH469">
        <v>0.33611753760505902</v>
      </c>
      <c r="AI469">
        <v>0.38415835973004803</v>
      </c>
      <c r="AJ469">
        <v>0.43028806058244401</v>
      </c>
      <c r="AK469">
        <v>0.47485885213186502</v>
      </c>
      <c r="AL469">
        <v>0.51795383106541004</v>
      </c>
      <c r="AM469">
        <v>0.55902252697751997</v>
      </c>
      <c r="AN469">
        <v>0.59187177411591796</v>
      </c>
      <c r="AO469">
        <v>0.61871499857468704</v>
      </c>
      <c r="AP469">
        <v>0.64411740996243205</v>
      </c>
      <c r="AQ469">
        <v>0.66759891230296398</v>
      </c>
      <c r="AR469">
        <v>0.68944746629554998</v>
      </c>
      <c r="AS469">
        <v>0.71041179197230997</v>
      </c>
    </row>
    <row r="470" spans="1:45" hidden="1" x14ac:dyDescent="0.3">
      <c r="A470" t="s">
        <v>718</v>
      </c>
      <c r="B470" t="s">
        <v>682</v>
      </c>
      <c r="C470" t="s">
        <v>681</v>
      </c>
      <c r="D470" t="s">
        <v>680</v>
      </c>
      <c r="E470" t="s">
        <v>693</v>
      </c>
      <c r="F470">
        <v>147.59255405830399</v>
      </c>
      <c r="G470">
        <v>0.67746269122549196</v>
      </c>
      <c r="H470">
        <v>5.5571983184785703</v>
      </c>
      <c r="I470">
        <v>128.53927480441001</v>
      </c>
      <c r="J470">
        <v>4.4518695217754298E-2</v>
      </c>
      <c r="K470">
        <v>2.7503324257748499E-2</v>
      </c>
      <c r="L470">
        <v>7.1020472042501196E-3</v>
      </c>
      <c r="M470">
        <v>-1.1477475412402899E-2</v>
      </c>
      <c r="N470">
        <v>-1.04784925954179E-2</v>
      </c>
      <c r="O470">
        <v>-2.79527100886659E-2</v>
      </c>
      <c r="P470">
        <v>-2.7904548423501999E-2</v>
      </c>
      <c r="Q470">
        <v>-2.7210912752833199E-2</v>
      </c>
      <c r="R470">
        <v>-2.6577530222007501E-2</v>
      </c>
      <c r="S470">
        <v>-2.60649917347348E-2</v>
      </c>
      <c r="T470">
        <v>-2.54973976281101E-2</v>
      </c>
      <c r="U470">
        <v>-2.49772202996121E-2</v>
      </c>
      <c r="V470">
        <v>-2.4579657498513902E-2</v>
      </c>
      <c r="W470">
        <v>-2.4249972668960701E-2</v>
      </c>
      <c r="X470">
        <v>-2.41130878923538E-2</v>
      </c>
      <c r="Y470">
        <v>1.6022285107331599E-2</v>
      </c>
      <c r="Z470">
        <v>3.4798839453444599E-2</v>
      </c>
      <c r="AA470">
        <v>5.0036152986331697E-2</v>
      </c>
      <c r="AB470">
        <v>7.4321768808764899E-2</v>
      </c>
      <c r="AC470">
        <v>9.6828607261909699E-2</v>
      </c>
      <c r="AD470">
        <v>0.119460109223818</v>
      </c>
      <c r="AE470">
        <v>0.14311040674285699</v>
      </c>
      <c r="AF470">
        <v>0.16642869173477001</v>
      </c>
      <c r="AG470">
        <v>0.19155650387197401</v>
      </c>
      <c r="AH470">
        <v>0.215059356142113</v>
      </c>
      <c r="AI470">
        <v>0.24090654500106101</v>
      </c>
      <c r="AJ470">
        <v>0.264317555457593</v>
      </c>
      <c r="AK470">
        <v>0.28561107242489098</v>
      </c>
      <c r="AL470">
        <v>0.305074718993746</v>
      </c>
      <c r="AM470">
        <v>0.32366076433687202</v>
      </c>
      <c r="AN470">
        <v>0.33748419051052803</v>
      </c>
      <c r="AO470">
        <v>0.35067520306162597</v>
      </c>
      <c r="AP470">
        <v>0.36416713185022398</v>
      </c>
      <c r="AQ470">
        <v>0.37677603084708</v>
      </c>
      <c r="AR470">
        <v>0.39068688776753502</v>
      </c>
      <c r="AS470">
        <v>0.40493644180063398</v>
      </c>
    </row>
    <row r="471" spans="1:45" hidden="1" x14ac:dyDescent="0.3">
      <c r="A471" t="s">
        <v>717</v>
      </c>
      <c r="B471" t="s">
        <v>686</v>
      </c>
      <c r="C471" t="s">
        <v>681</v>
      </c>
      <c r="D471" t="s">
        <v>680</v>
      </c>
      <c r="E471" t="s">
        <v>704</v>
      </c>
      <c r="F471">
        <v>-27.908499983446699</v>
      </c>
      <c r="G471">
        <v>999</v>
      </c>
      <c r="H471">
        <v>863.96804209352297</v>
      </c>
      <c r="I471">
        <v>2943.8049507209298</v>
      </c>
      <c r="J471">
        <v>1.0027088653673999</v>
      </c>
      <c r="K471">
        <v>0.95648271182920697</v>
      </c>
      <c r="L471">
        <v>0.91964564421791295</v>
      </c>
      <c r="M471">
        <v>1.0808314262157199</v>
      </c>
      <c r="N471">
        <v>1.00407973161266</v>
      </c>
      <c r="O471">
        <v>1.0132640122165799</v>
      </c>
      <c r="P471">
        <v>1.01237058430522</v>
      </c>
      <c r="Q471">
        <v>1.01014628362653</v>
      </c>
      <c r="R471">
        <v>1.0070114660915399</v>
      </c>
      <c r="S471">
        <v>1.0045859275751601</v>
      </c>
      <c r="T471">
        <v>1.00112783859439</v>
      </c>
      <c r="U471">
        <v>0.99887476204025905</v>
      </c>
      <c r="V471">
        <v>0.99886724040713104</v>
      </c>
      <c r="W471">
        <v>1.0002359508601799</v>
      </c>
      <c r="X471">
        <v>1.0037971556931</v>
      </c>
      <c r="Y471">
        <v>1.0076486358568799</v>
      </c>
      <c r="Z471">
        <v>1.01183221624552</v>
      </c>
      <c r="AA471">
        <v>1.0141906624085599</v>
      </c>
      <c r="AB471">
        <v>1.0178800976487301</v>
      </c>
      <c r="AC471">
        <v>1.02241367360249</v>
      </c>
      <c r="AD471">
        <v>1.02814119448369</v>
      </c>
      <c r="AE471">
        <v>1.0341162640919399</v>
      </c>
      <c r="AF471">
        <v>1.04012314245161</v>
      </c>
      <c r="AG471">
        <v>1.04648167363803</v>
      </c>
      <c r="AH471">
        <v>1.0530640541669101</v>
      </c>
      <c r="AI471">
        <v>1.05990031335859</v>
      </c>
      <c r="AJ471">
        <v>1.0663668528471699</v>
      </c>
      <c r="AK471">
        <v>1.07324852093859</v>
      </c>
      <c r="AL471">
        <v>1.0802127971508499</v>
      </c>
      <c r="AM471">
        <v>1.0872984170097899</v>
      </c>
      <c r="AN471">
        <v>1.0943635705497201</v>
      </c>
      <c r="AO471">
        <v>1.1018850535703399</v>
      </c>
      <c r="AP471">
        <v>1.10922575786856</v>
      </c>
      <c r="AQ471">
        <v>1.1160547756544601</v>
      </c>
      <c r="AR471">
        <v>1.12303436289793</v>
      </c>
      <c r="AS471">
        <v>1.1305012825830101</v>
      </c>
    </row>
    <row r="472" spans="1:45" hidden="1" x14ac:dyDescent="0.3">
      <c r="A472" t="s">
        <v>717</v>
      </c>
      <c r="B472" t="s">
        <v>685</v>
      </c>
      <c r="C472" t="s">
        <v>681</v>
      </c>
      <c r="D472" t="s">
        <v>680</v>
      </c>
      <c r="E472" t="s">
        <v>704</v>
      </c>
      <c r="F472">
        <v>-27.908499983446699</v>
      </c>
      <c r="G472">
        <v>999</v>
      </c>
      <c r="H472">
        <v>863.96804209352297</v>
      </c>
      <c r="I472">
        <v>2943.8049507209298</v>
      </c>
      <c r="J472">
        <v>1.0027088653673999</v>
      </c>
      <c r="K472">
        <v>0.95648271182920697</v>
      </c>
      <c r="L472">
        <v>0.91964564421791295</v>
      </c>
      <c r="M472">
        <v>1.0808314262157199</v>
      </c>
      <c r="N472">
        <v>1.00407973161266</v>
      </c>
      <c r="O472">
        <v>1.0181623212769799</v>
      </c>
      <c r="P472">
        <v>1.0197718625816601</v>
      </c>
      <c r="Q472">
        <v>1.01833234449092</v>
      </c>
      <c r="R472">
        <v>1.0151162968312899</v>
      </c>
      <c r="S472">
        <v>1.01264979006389</v>
      </c>
      <c r="T472">
        <v>1.0079419950252599</v>
      </c>
      <c r="U472">
        <v>1.0038216099239701</v>
      </c>
      <c r="V472">
        <v>1.0016159538243501</v>
      </c>
      <c r="W472">
        <v>1.00044174870521</v>
      </c>
      <c r="X472">
        <v>1.0026180921558401</v>
      </c>
      <c r="Y472">
        <v>1.0057101578579</v>
      </c>
      <c r="Z472">
        <v>1.0081461483827101</v>
      </c>
      <c r="AA472">
        <v>1.0053882210438401</v>
      </c>
      <c r="AB472">
        <v>1.00364936761558</v>
      </c>
      <c r="AC472">
        <v>1.0022942751405699</v>
      </c>
      <c r="AD472">
        <v>1.0035951738505999</v>
      </c>
      <c r="AE472">
        <v>1.0098972680536</v>
      </c>
      <c r="AF472">
        <v>1.01663985824498</v>
      </c>
      <c r="AG472">
        <v>1.02268415352361</v>
      </c>
      <c r="AH472">
        <v>1.0258343863285999</v>
      </c>
      <c r="AI472">
        <v>1.0287284557640299</v>
      </c>
      <c r="AJ472">
        <v>1.03087685086466</v>
      </c>
      <c r="AK472">
        <v>1.0330686194171901</v>
      </c>
      <c r="AL472">
        <v>1.0354664631185599</v>
      </c>
      <c r="AM472">
        <v>1.0380483152278801</v>
      </c>
      <c r="AN472">
        <v>1.0408449728688001</v>
      </c>
      <c r="AO472">
        <v>1.0442387365983801</v>
      </c>
      <c r="AP472">
        <v>1.04806516488428</v>
      </c>
      <c r="AQ472">
        <v>1.0512513571109501</v>
      </c>
      <c r="AR472">
        <v>1.0549045728634101</v>
      </c>
      <c r="AS472">
        <v>1.0586694726454</v>
      </c>
    </row>
    <row r="473" spans="1:45" hidden="1" x14ac:dyDescent="0.3">
      <c r="A473" t="s">
        <v>717</v>
      </c>
      <c r="B473" t="s">
        <v>684</v>
      </c>
      <c r="C473" t="s">
        <v>681</v>
      </c>
      <c r="D473" t="s">
        <v>680</v>
      </c>
      <c r="E473" t="s">
        <v>704</v>
      </c>
      <c r="F473">
        <v>-27.908499983446699</v>
      </c>
      <c r="G473">
        <v>999</v>
      </c>
      <c r="H473">
        <v>1188120.6494551101</v>
      </c>
      <c r="I473">
        <v>6396682.5602651099</v>
      </c>
      <c r="J473">
        <v>3.9263502772691099E-3</v>
      </c>
      <c r="K473">
        <v>3.4993203672948401E-3</v>
      </c>
      <c r="L473">
        <v>1.60364091226321E-3</v>
      </c>
      <c r="M473">
        <v>1.7147467901203299E-3</v>
      </c>
      <c r="N473">
        <v>1.4902258656881999E-3</v>
      </c>
      <c r="O473">
        <v>-5.3411880656105296E-4</v>
      </c>
      <c r="P473">
        <v>-6.6489047050053904E-4</v>
      </c>
      <c r="Q473">
        <v>-5.8759548775392102E-4</v>
      </c>
      <c r="R473">
        <v>-5.7985313423292303E-4</v>
      </c>
      <c r="S473">
        <v>-5.0009443285059204E-4</v>
      </c>
      <c r="T473">
        <v>-3.5597742064816701E-4</v>
      </c>
      <c r="U473">
        <v>-2.2305869341123101E-4</v>
      </c>
      <c r="V473">
        <v>-1.10002219354469E-4</v>
      </c>
      <c r="W473">
        <v>-1.1238454108721E-5</v>
      </c>
      <c r="X473">
        <v>5.9227295316407898E-5</v>
      </c>
      <c r="Y473">
        <v>1.1288423128844101E-5</v>
      </c>
      <c r="Z473">
        <v>8.9478912245655205E-6</v>
      </c>
      <c r="AA473">
        <v>3.6413537376005299E-5</v>
      </c>
      <c r="AB473">
        <v>5.9303397910823599E-5</v>
      </c>
      <c r="AC473">
        <v>8.92064550579599E-5</v>
      </c>
      <c r="AD473">
        <v>1.21546377061489E-4</v>
      </c>
      <c r="AE473">
        <v>1.3616820851988299E-4</v>
      </c>
      <c r="AF473">
        <v>1.4670397546786201E-4</v>
      </c>
      <c r="AG473">
        <v>1.5069996303282001E-4</v>
      </c>
      <c r="AH473">
        <v>1.4816075219621801E-4</v>
      </c>
      <c r="AI473">
        <v>1.3807435579309799E-4</v>
      </c>
      <c r="AJ473">
        <v>1.2641408273495299E-4</v>
      </c>
      <c r="AK473">
        <v>1.14381350993984E-4</v>
      </c>
      <c r="AL473">
        <v>1.02520783278526E-4</v>
      </c>
      <c r="AM473">
        <v>9.1269764717227106E-5</v>
      </c>
      <c r="AN473">
        <v>8.0883231802410604E-5</v>
      </c>
      <c r="AO473">
        <v>7.1521098398404505E-5</v>
      </c>
      <c r="AP473">
        <v>6.3170876968505999E-5</v>
      </c>
      <c r="AQ473">
        <v>5.5818193533232002E-5</v>
      </c>
      <c r="AR473">
        <v>5.0888371125509303E-5</v>
      </c>
      <c r="AS473">
        <v>4.71436419026922E-5</v>
      </c>
    </row>
    <row r="474" spans="1:45" hidden="1" x14ac:dyDescent="0.3">
      <c r="A474" t="s">
        <v>717</v>
      </c>
      <c r="B474" t="s">
        <v>682</v>
      </c>
      <c r="C474" t="s">
        <v>681</v>
      </c>
      <c r="D474" t="s">
        <v>680</v>
      </c>
      <c r="E474" t="s">
        <v>704</v>
      </c>
      <c r="F474">
        <v>-27.908499983446699</v>
      </c>
      <c r="G474">
        <v>999</v>
      </c>
      <c r="H474">
        <v>1188120.6494551101</v>
      </c>
      <c r="I474">
        <v>6396682.5602651099</v>
      </c>
      <c r="J474">
        <v>3.9235840610812797E-3</v>
      </c>
      <c r="K474">
        <v>3.4941291825502201E-3</v>
      </c>
      <c r="L474">
        <v>1.58154086420573E-3</v>
      </c>
      <c r="M474">
        <v>1.6637155407837601E-3</v>
      </c>
      <c r="N474">
        <v>1.41960018041226E-3</v>
      </c>
      <c r="O474">
        <v>-5.6790711533631405E-4</v>
      </c>
      <c r="P474">
        <v>-7.1968088507327595E-4</v>
      </c>
      <c r="Q474">
        <v>-6.6090672840669505E-4</v>
      </c>
      <c r="R474">
        <v>-6.7033762469713703E-4</v>
      </c>
      <c r="S474">
        <v>-6.0334518374959001E-4</v>
      </c>
      <c r="T474">
        <v>-4.6482913473142702E-4</v>
      </c>
      <c r="U474">
        <v>-3.3431083220551499E-4</v>
      </c>
      <c r="V474">
        <v>-2.2227163307713199E-4</v>
      </c>
      <c r="W474">
        <v>-1.2277258092911899E-4</v>
      </c>
      <c r="X474">
        <v>-5.1556891100932903E-5</v>
      </c>
      <c r="Y474">
        <v>-9.4863917384698293E-5</v>
      </c>
      <c r="Z474">
        <v>-9.0428676438139194E-5</v>
      </c>
      <c r="AA474">
        <v>-5.4406264153273E-5</v>
      </c>
      <c r="AB474">
        <v>-2.3552580355693601E-5</v>
      </c>
      <c r="AC474">
        <v>1.5208641929460399E-5</v>
      </c>
      <c r="AD474">
        <v>6.1086728240051206E-5</v>
      </c>
      <c r="AE474">
        <v>8.5905246963870102E-5</v>
      </c>
      <c r="AF474">
        <v>1.0437102764296E-4</v>
      </c>
      <c r="AG474">
        <v>1.15400343542099E-4</v>
      </c>
      <c r="AH474">
        <v>1.18958125629058E-4</v>
      </c>
      <c r="AI474">
        <v>1.1540705446579499E-4</v>
      </c>
      <c r="AJ474">
        <v>1.09281453993079E-4</v>
      </c>
      <c r="AK474">
        <v>1.01802105383806E-4</v>
      </c>
      <c r="AL474">
        <v>9.3800299922115602E-5</v>
      </c>
      <c r="AM474">
        <v>8.5787101359803496E-5</v>
      </c>
      <c r="AN474">
        <v>7.8066444465709294E-5</v>
      </c>
      <c r="AO474">
        <v>7.0953332401918405E-5</v>
      </c>
      <c r="AP474">
        <v>6.4507128029349896E-5</v>
      </c>
      <c r="AQ474">
        <v>5.8647217026279302E-5</v>
      </c>
      <c r="AR474">
        <v>5.5319690837592498E-5</v>
      </c>
      <c r="AS474">
        <v>5.2880186256093097E-5</v>
      </c>
    </row>
    <row r="475" spans="1:45" hidden="1" x14ac:dyDescent="0.3">
      <c r="A475" t="s">
        <v>716</v>
      </c>
      <c r="B475" t="s">
        <v>686</v>
      </c>
      <c r="C475" t="s">
        <v>681</v>
      </c>
      <c r="D475" t="s">
        <v>680</v>
      </c>
      <c r="E475" t="s">
        <v>22</v>
      </c>
      <c r="F475">
        <v>999</v>
      </c>
      <c r="G475">
        <v>0</v>
      </c>
      <c r="H475">
        <v>-33.330686369260903</v>
      </c>
      <c r="I475">
        <v>-299.07826955012303</v>
      </c>
      <c r="J475">
        <v>0.1141716042524</v>
      </c>
      <c r="K475">
        <v>0.1123541622432</v>
      </c>
      <c r="L475">
        <v>0.11092353649809999</v>
      </c>
      <c r="M475">
        <v>0.1107798461882</v>
      </c>
      <c r="N475">
        <v>0.11097512410469999</v>
      </c>
      <c r="O475">
        <v>0.1107830268561</v>
      </c>
      <c r="P475">
        <v>0.1104975271623</v>
      </c>
      <c r="Q475">
        <v>0.11036766747020001</v>
      </c>
      <c r="R475">
        <v>0.1104035249279</v>
      </c>
      <c r="S475">
        <v>0.110597295055</v>
      </c>
      <c r="T475">
        <v>0.1110324105873</v>
      </c>
      <c r="U475">
        <v>0.1117440376137</v>
      </c>
      <c r="V475">
        <v>0.11268692688119999</v>
      </c>
      <c r="W475">
        <v>0.11382120650579999</v>
      </c>
      <c r="X475">
        <v>0.1151376803855</v>
      </c>
      <c r="Y475">
        <v>0.1166722550088</v>
      </c>
      <c r="Z475">
        <v>0.1182042969322</v>
      </c>
      <c r="AA475">
        <v>0.1196094771237</v>
      </c>
      <c r="AB475">
        <v>0.1209693132617</v>
      </c>
      <c r="AC475">
        <v>0.12235099873620001</v>
      </c>
      <c r="AD475">
        <v>0.1237488502231</v>
      </c>
      <c r="AE475">
        <v>0.12508811431889999</v>
      </c>
      <c r="AF475">
        <v>0.12638855441890001</v>
      </c>
      <c r="AG475">
        <v>0.12768835790300001</v>
      </c>
      <c r="AH475">
        <v>0.1289688798093</v>
      </c>
      <c r="AI475">
        <v>0.13024377865190001</v>
      </c>
      <c r="AJ475">
        <v>0.13155626124719999</v>
      </c>
      <c r="AK475">
        <v>0.1328732741509</v>
      </c>
      <c r="AL475">
        <v>0.13422141264820001</v>
      </c>
      <c r="AM475">
        <v>0.1356342023546</v>
      </c>
      <c r="AN475">
        <v>0.13711610135659999</v>
      </c>
      <c r="AO475">
        <v>0.1386664322118</v>
      </c>
      <c r="AP475">
        <v>0.1402578120289</v>
      </c>
      <c r="AQ475">
        <v>0.1418388232691</v>
      </c>
      <c r="AR475">
        <v>0.14339112650159999</v>
      </c>
      <c r="AS475">
        <v>0.14496366097300001</v>
      </c>
    </row>
    <row r="476" spans="1:45" hidden="1" x14ac:dyDescent="0.3">
      <c r="A476" t="s">
        <v>716</v>
      </c>
      <c r="B476" t="s">
        <v>685</v>
      </c>
      <c r="C476" t="s">
        <v>681</v>
      </c>
      <c r="D476" t="s">
        <v>680</v>
      </c>
      <c r="E476" t="s">
        <v>22</v>
      </c>
      <c r="F476">
        <v>999</v>
      </c>
      <c r="G476">
        <v>0</v>
      </c>
      <c r="H476">
        <v>-33.330686369260903</v>
      </c>
      <c r="I476">
        <v>-299.07826955012303</v>
      </c>
      <c r="J476">
        <v>0.1141716042524</v>
      </c>
      <c r="K476">
        <v>0.1123541622432</v>
      </c>
      <c r="L476">
        <v>0.11092353649809999</v>
      </c>
      <c r="M476">
        <v>0.1107798461882</v>
      </c>
      <c r="N476">
        <v>0.11097512410469999</v>
      </c>
      <c r="O476">
        <v>0.109848148884142</v>
      </c>
      <c r="P476">
        <v>0.108470657126051</v>
      </c>
      <c r="Q476">
        <v>0.107082015239432</v>
      </c>
      <c r="R476">
        <v>0.10576245939898</v>
      </c>
      <c r="S476">
        <v>0.10467074251953901</v>
      </c>
      <c r="T476">
        <v>0.103623528381019</v>
      </c>
      <c r="U476">
        <v>0.10279538218798</v>
      </c>
      <c r="V476">
        <v>0.102174537745319</v>
      </c>
      <c r="W476">
        <v>0.10169522302280901</v>
      </c>
      <c r="X476">
        <v>0.10147599325197799</v>
      </c>
      <c r="Y476">
        <v>0.101337061616162</v>
      </c>
      <c r="Z476">
        <v>0.101065094226617</v>
      </c>
      <c r="AA476">
        <v>0.100881193872094</v>
      </c>
      <c r="AB476">
        <v>0.101539623166001</v>
      </c>
      <c r="AC476">
        <v>0.102118575403227</v>
      </c>
      <c r="AD476">
        <v>0.102882171726087</v>
      </c>
      <c r="AE476">
        <v>0.103691513409567</v>
      </c>
      <c r="AF476">
        <v>0.104327971400816</v>
      </c>
      <c r="AG476">
        <v>0.105013053000429</v>
      </c>
      <c r="AH476">
        <v>0.105733132388503</v>
      </c>
      <c r="AI476">
        <v>0.106459312454941</v>
      </c>
      <c r="AJ476">
        <v>0.10722666323166501</v>
      </c>
      <c r="AK476">
        <v>0.107971636549239</v>
      </c>
      <c r="AL476">
        <v>0.108768587564711</v>
      </c>
      <c r="AM476">
        <v>0.10962892140529901</v>
      </c>
      <c r="AN476">
        <v>0.11054612478753501</v>
      </c>
      <c r="AO476">
        <v>0.111547544228809</v>
      </c>
      <c r="AP476">
        <v>0.112672271168197</v>
      </c>
      <c r="AQ476">
        <v>0.113729617555225</v>
      </c>
      <c r="AR476">
        <v>0.11481344747614999</v>
      </c>
      <c r="AS476">
        <v>0.115854399443598</v>
      </c>
    </row>
    <row r="477" spans="1:45" hidden="1" x14ac:dyDescent="0.3">
      <c r="A477" t="s">
        <v>716</v>
      </c>
      <c r="B477" t="s">
        <v>684</v>
      </c>
      <c r="C477" t="s">
        <v>681</v>
      </c>
      <c r="D477" t="s">
        <v>680</v>
      </c>
      <c r="E477" t="s">
        <v>22</v>
      </c>
      <c r="F477">
        <v>999</v>
      </c>
      <c r="G477">
        <v>0</v>
      </c>
      <c r="H477">
        <v>-160.34867948958501</v>
      </c>
      <c r="I477">
        <v>-1439.3661772165699</v>
      </c>
      <c r="J477">
        <v>-3.7252902984619097E-18</v>
      </c>
      <c r="K477">
        <v>-8.7165972217917397E-18</v>
      </c>
      <c r="L477">
        <v>-4.3073669075965897E-18</v>
      </c>
      <c r="M477">
        <v>5.9953890740871396E-18</v>
      </c>
      <c r="N477">
        <v>3.5506673157215097E-18</v>
      </c>
      <c r="O477">
        <v>2.56270668275663E-3</v>
      </c>
      <c r="P477">
        <v>4.8070435040059997E-3</v>
      </c>
      <c r="Q477">
        <v>6.7996917707542001E-3</v>
      </c>
      <c r="R477">
        <v>8.5823509381383993E-3</v>
      </c>
      <c r="S477">
        <v>1.0200306483061E-2</v>
      </c>
      <c r="T477">
        <v>1.17012078302265E-2</v>
      </c>
      <c r="U477">
        <v>1.3103965430059801E-2</v>
      </c>
      <c r="V477">
        <v>1.3923646215758201E-2</v>
      </c>
      <c r="W477">
        <v>1.5334697849145699E-2</v>
      </c>
      <c r="X477">
        <v>1.6662909896057801E-2</v>
      </c>
      <c r="Y477">
        <v>1.7954982977165902E-2</v>
      </c>
      <c r="Z477">
        <v>1.91698324427256E-2</v>
      </c>
      <c r="AA477">
        <v>2.03015816189571E-2</v>
      </c>
      <c r="AB477">
        <v>2.1361529099297099E-2</v>
      </c>
      <c r="AC477">
        <v>2.2332375799893101E-2</v>
      </c>
      <c r="AD477">
        <v>2.3274994353144601E-2</v>
      </c>
      <c r="AE477">
        <v>2.4148956799522801E-2</v>
      </c>
      <c r="AF477">
        <v>2.4965306105571902E-2</v>
      </c>
      <c r="AG477">
        <v>2.5726871935270901E-2</v>
      </c>
      <c r="AH477">
        <v>2.6430157254097399E-2</v>
      </c>
      <c r="AI477">
        <v>2.70729671838419E-2</v>
      </c>
      <c r="AJ477">
        <v>2.7695471639292899E-2</v>
      </c>
      <c r="AK477">
        <v>2.8274322268782699E-2</v>
      </c>
      <c r="AL477">
        <v>2.8822711361429599E-2</v>
      </c>
      <c r="AM477">
        <v>2.9354514785450599E-2</v>
      </c>
      <c r="AN477">
        <v>2.9879460398219902E-2</v>
      </c>
      <c r="AO477">
        <v>3.04052925908418E-2</v>
      </c>
      <c r="AP477">
        <v>3.0922844954661601E-2</v>
      </c>
      <c r="AQ477">
        <v>3.1430606288563499E-2</v>
      </c>
      <c r="AR477">
        <v>3.1909244554536899E-2</v>
      </c>
      <c r="AS477">
        <v>3.23739348912341E-2</v>
      </c>
    </row>
    <row r="478" spans="1:45" hidden="1" x14ac:dyDescent="0.3">
      <c r="A478" t="s">
        <v>716</v>
      </c>
      <c r="B478" t="s">
        <v>682</v>
      </c>
      <c r="C478" t="s">
        <v>681</v>
      </c>
      <c r="D478" t="s">
        <v>680</v>
      </c>
      <c r="E478" t="s">
        <v>22</v>
      </c>
      <c r="F478">
        <v>999</v>
      </c>
      <c r="G478">
        <v>0</v>
      </c>
      <c r="H478">
        <v>-160.34867948958501</v>
      </c>
      <c r="I478">
        <v>-1439.3661772165699</v>
      </c>
      <c r="J478">
        <v>-3.7252902984619097E-18</v>
      </c>
      <c r="K478">
        <v>-8.7165972217917397E-18</v>
      </c>
      <c r="L478">
        <v>-4.3073669075965897E-18</v>
      </c>
      <c r="M478">
        <v>5.9953890740871396E-18</v>
      </c>
      <c r="N478">
        <v>3.5506673157215097E-18</v>
      </c>
      <c r="O478">
        <v>2.5381671894594898E-3</v>
      </c>
      <c r="P478">
        <v>4.7105350108872504E-3</v>
      </c>
      <c r="Q478">
        <v>6.5841230904131404E-3</v>
      </c>
      <c r="R478">
        <v>8.2058369139079504E-3</v>
      </c>
      <c r="S478">
        <v>9.6381645893414605E-3</v>
      </c>
      <c r="T478">
        <v>1.0906617044467401E-2</v>
      </c>
      <c r="U478">
        <v>1.20442543594132E-2</v>
      </c>
      <c r="V478">
        <v>1.2618478649267101E-2</v>
      </c>
      <c r="W478">
        <v>1.3700000996813601E-2</v>
      </c>
      <c r="X478">
        <v>1.4689884082593099E-2</v>
      </c>
      <c r="Y478">
        <v>1.56057689105395E-2</v>
      </c>
      <c r="Z478">
        <v>1.6408997097879199E-2</v>
      </c>
      <c r="AA478">
        <v>1.7144500753215001E-2</v>
      </c>
      <c r="AB478">
        <v>1.79485546425876E-2</v>
      </c>
      <c r="AC478">
        <v>1.8653963054282501E-2</v>
      </c>
      <c r="AD478">
        <v>1.9361545052668599E-2</v>
      </c>
      <c r="AE478">
        <v>2.0026346418716701E-2</v>
      </c>
      <c r="AF478">
        <v>2.0613137394950701E-2</v>
      </c>
      <c r="AG478">
        <v>2.1161230657332299E-2</v>
      </c>
      <c r="AH478">
        <v>2.1669286060767502E-2</v>
      </c>
      <c r="AI478">
        <v>2.2129037581212301E-2</v>
      </c>
      <c r="AJ478">
        <v>2.25735588892148E-2</v>
      </c>
      <c r="AK478">
        <v>2.2975461899238499E-2</v>
      </c>
      <c r="AL478">
        <v>2.3356970715135001E-2</v>
      </c>
      <c r="AM478">
        <v>2.37263443765569E-2</v>
      </c>
      <c r="AN478">
        <v>2.40895017075748E-2</v>
      </c>
      <c r="AO478">
        <v>2.44589527975047E-2</v>
      </c>
      <c r="AP478">
        <v>2.48410204153608E-2</v>
      </c>
      <c r="AQ478">
        <v>2.52017800933486E-2</v>
      </c>
      <c r="AR478">
        <v>2.5549770498700001E-2</v>
      </c>
      <c r="AS478">
        <v>2.5873124059336901E-2</v>
      </c>
    </row>
    <row r="479" spans="1:45" hidden="1" x14ac:dyDescent="0.3">
      <c r="A479" t="s">
        <v>715</v>
      </c>
      <c r="B479" t="s">
        <v>686</v>
      </c>
      <c r="C479" t="s">
        <v>681</v>
      </c>
      <c r="D479" t="s">
        <v>680</v>
      </c>
      <c r="E479" t="s">
        <v>693</v>
      </c>
      <c r="F479">
        <v>142.31736180973499</v>
      </c>
      <c r="G479">
        <v>0.70255428956621502</v>
      </c>
      <c r="H479">
        <v>1.6615877064221001</v>
      </c>
      <c r="I479">
        <v>37.823542949700702</v>
      </c>
      <c r="J479">
        <v>1.9690829814529001</v>
      </c>
      <c r="K479">
        <v>1.8159156508637</v>
      </c>
      <c r="L479">
        <v>1.67022231740464</v>
      </c>
      <c r="M479">
        <v>2.0473556311905101</v>
      </c>
      <c r="N479">
        <v>1.8955637762830699</v>
      </c>
      <c r="O479">
        <v>1.8547485799564001</v>
      </c>
      <c r="P479">
        <v>1.8221079803287601</v>
      </c>
      <c r="Q479">
        <v>1.80162749919652</v>
      </c>
      <c r="R479">
        <v>1.7898703896319299</v>
      </c>
      <c r="S479">
        <v>1.7820892022988</v>
      </c>
      <c r="T479">
        <v>1.77011798857507</v>
      </c>
      <c r="U479">
        <v>1.75990056666395</v>
      </c>
      <c r="V479">
        <v>1.7544483681895</v>
      </c>
      <c r="W479">
        <v>1.75200478774003</v>
      </c>
      <c r="X479">
        <v>1.7549603238173399</v>
      </c>
      <c r="Y479">
        <v>1.75633816812565</v>
      </c>
      <c r="Z479">
        <v>1.75755922504288</v>
      </c>
      <c r="AA479">
        <v>1.7542917946261301</v>
      </c>
      <c r="AB479">
        <v>1.7553295267101301</v>
      </c>
      <c r="AC479">
        <v>1.7577647361636499</v>
      </c>
      <c r="AD479">
        <v>1.7633550900974599</v>
      </c>
      <c r="AE479">
        <v>1.76993138789252</v>
      </c>
      <c r="AF479">
        <v>1.7759204096229699</v>
      </c>
      <c r="AG479">
        <v>1.78255415915233</v>
      </c>
      <c r="AH479">
        <v>1.7902213777534799</v>
      </c>
      <c r="AI479">
        <v>1.7971868865570999</v>
      </c>
      <c r="AJ479">
        <v>1.80291933841135</v>
      </c>
      <c r="AK479">
        <v>1.80988971688767</v>
      </c>
      <c r="AL479">
        <v>1.8172495834517399</v>
      </c>
      <c r="AM479">
        <v>1.82502960607467</v>
      </c>
      <c r="AN479">
        <v>1.8325729555493899</v>
      </c>
      <c r="AO479">
        <v>1.84081447146655</v>
      </c>
      <c r="AP479">
        <v>1.8488819804018199</v>
      </c>
      <c r="AQ479">
        <v>1.85591701495322</v>
      </c>
      <c r="AR479">
        <v>1.86387192316263</v>
      </c>
      <c r="AS479">
        <v>1.87255318725229</v>
      </c>
    </row>
    <row r="480" spans="1:45" hidden="1" x14ac:dyDescent="0.3">
      <c r="A480" t="s">
        <v>715</v>
      </c>
      <c r="B480" t="s">
        <v>685</v>
      </c>
      <c r="C480" t="s">
        <v>681</v>
      </c>
      <c r="D480" t="s">
        <v>680</v>
      </c>
      <c r="E480" t="s">
        <v>693</v>
      </c>
      <c r="F480">
        <v>142.31736180973499</v>
      </c>
      <c r="G480">
        <v>0.70255428956621502</v>
      </c>
      <c r="H480">
        <v>1.6615877064221001</v>
      </c>
      <c r="I480">
        <v>37.823542949700702</v>
      </c>
      <c r="J480">
        <v>1.9690829814529001</v>
      </c>
      <c r="K480">
        <v>1.8159156508637</v>
      </c>
      <c r="L480">
        <v>1.67022231740464</v>
      </c>
      <c r="M480">
        <v>2.0473556311905101</v>
      </c>
      <c r="N480">
        <v>1.8955637762830699</v>
      </c>
      <c r="O480">
        <v>1.8547485799564001</v>
      </c>
      <c r="P480">
        <v>1.8221079803287601</v>
      </c>
      <c r="Q480">
        <v>1.80162749919652</v>
      </c>
      <c r="R480">
        <v>1.7898703896319299</v>
      </c>
      <c r="S480">
        <v>1.7820892022988</v>
      </c>
      <c r="T480">
        <v>1.77011798857507</v>
      </c>
      <c r="U480">
        <v>1.75990056666395</v>
      </c>
      <c r="V480">
        <v>1.7544483681895</v>
      </c>
      <c r="W480">
        <v>1.75200478774003</v>
      </c>
      <c r="X480">
        <v>1.7549603238173399</v>
      </c>
      <c r="Y480">
        <v>1.7188449968602599</v>
      </c>
      <c r="Z480">
        <v>1.68478622897276</v>
      </c>
      <c r="AA480">
        <v>1.64789776750995</v>
      </c>
      <c r="AB480">
        <v>1.61441561538912</v>
      </c>
      <c r="AC480">
        <v>1.5828831164481401</v>
      </c>
      <c r="AD480">
        <v>1.5549777272971099</v>
      </c>
      <c r="AE480">
        <v>1.5286804611366001</v>
      </c>
      <c r="AF480">
        <v>1.50181462695021</v>
      </c>
      <c r="AG480">
        <v>1.4753327143608299</v>
      </c>
      <c r="AH480">
        <v>1.4508994385334599</v>
      </c>
      <c r="AI480">
        <v>1.42864283546944</v>
      </c>
      <c r="AJ480">
        <v>1.4064982891191899</v>
      </c>
      <c r="AK480">
        <v>1.3858111676746301</v>
      </c>
      <c r="AL480">
        <v>1.3660284103092899</v>
      </c>
      <c r="AM480">
        <v>1.3494736790100701</v>
      </c>
      <c r="AN480">
        <v>1.3349985899797601</v>
      </c>
      <c r="AO480">
        <v>1.3270799029714699</v>
      </c>
      <c r="AP480">
        <v>1.3212091753664601</v>
      </c>
      <c r="AQ480">
        <v>1.3161952518311599</v>
      </c>
      <c r="AR480">
        <v>1.31753393740072</v>
      </c>
      <c r="AS480">
        <v>1.32074024633997</v>
      </c>
    </row>
    <row r="481" spans="1:45" hidden="1" x14ac:dyDescent="0.3">
      <c r="A481" t="s">
        <v>715</v>
      </c>
      <c r="B481" t="s">
        <v>684</v>
      </c>
      <c r="C481" t="s">
        <v>681</v>
      </c>
      <c r="D481" t="s">
        <v>680</v>
      </c>
      <c r="E481" t="s">
        <v>693</v>
      </c>
      <c r="F481">
        <v>142.31736180973499</v>
      </c>
      <c r="G481">
        <v>0.70255428956621502</v>
      </c>
      <c r="H481">
        <v>14.6794998025798</v>
      </c>
      <c r="I481">
        <v>343.06787721828999</v>
      </c>
      <c r="J481">
        <v>4.4540253717708998E-2</v>
      </c>
      <c r="K481">
        <v>2.7543797409409002E-2</v>
      </c>
      <c r="L481">
        <v>7.1833545697256298E-3</v>
      </c>
      <c r="M481">
        <v>-1.13024990753574E-2</v>
      </c>
      <c r="N481">
        <v>-1.0257339789597E-2</v>
      </c>
      <c r="O481">
        <v>-2.7929103524872202E-2</v>
      </c>
      <c r="P481">
        <v>-2.78782227703901E-2</v>
      </c>
      <c r="Q481">
        <v>-2.7138291895581101E-2</v>
      </c>
      <c r="R481">
        <v>-2.6451529922024802E-2</v>
      </c>
      <c r="S481">
        <v>-2.5880088284851398E-2</v>
      </c>
      <c r="T481">
        <v>-2.5251123710042601E-2</v>
      </c>
      <c r="U481">
        <v>-2.46690777025955E-2</v>
      </c>
      <c r="V481">
        <v>-2.4209746493374401E-2</v>
      </c>
      <c r="W481">
        <v>-2.3819473542527898E-2</v>
      </c>
      <c r="X481">
        <v>-2.3633943252736399E-2</v>
      </c>
      <c r="Y481">
        <v>-4.58901722494298E-3</v>
      </c>
      <c r="Z481">
        <v>6.2807203891561501E-3</v>
      </c>
      <c r="AA481">
        <v>1.5459972668381099E-2</v>
      </c>
      <c r="AB481">
        <v>2.81119621406772E-2</v>
      </c>
      <c r="AC481">
        <v>4.0287495385549703E-2</v>
      </c>
      <c r="AD481">
        <v>5.2835675171126702E-2</v>
      </c>
      <c r="AE481">
        <v>6.6209011344892904E-2</v>
      </c>
      <c r="AF481">
        <v>7.9826723429816906E-2</v>
      </c>
      <c r="AG481">
        <v>9.4771651174131402E-2</v>
      </c>
      <c r="AH481">
        <v>0.10960806069329899</v>
      </c>
      <c r="AI481">
        <v>0.126358332091078</v>
      </c>
      <c r="AJ481">
        <v>0.14237282345173299</v>
      </c>
      <c r="AK481">
        <v>0.15792254238561301</v>
      </c>
      <c r="AL481">
        <v>0.17312167893594699</v>
      </c>
      <c r="AM481">
        <v>0.187793100822435</v>
      </c>
      <c r="AN481">
        <v>0.20007968266759299</v>
      </c>
      <c r="AO481">
        <v>0.210620442246155</v>
      </c>
      <c r="AP481">
        <v>0.22074482758693501</v>
      </c>
      <c r="AQ481">
        <v>0.23032685643079301</v>
      </c>
      <c r="AR481">
        <v>0.23942295996712001</v>
      </c>
      <c r="AS481">
        <v>0.24837089460744499</v>
      </c>
    </row>
    <row r="482" spans="1:45" hidden="1" x14ac:dyDescent="0.3">
      <c r="A482" t="s">
        <v>715</v>
      </c>
      <c r="B482" t="s">
        <v>682</v>
      </c>
      <c r="C482" t="s">
        <v>681</v>
      </c>
      <c r="D482" t="s">
        <v>680</v>
      </c>
      <c r="E482" t="s">
        <v>693</v>
      </c>
      <c r="F482">
        <v>142.31736180973499</v>
      </c>
      <c r="G482">
        <v>0.70255428956621502</v>
      </c>
      <c r="H482">
        <v>14.6794998025798</v>
      </c>
      <c r="I482">
        <v>343.06787721828999</v>
      </c>
      <c r="J482">
        <v>4.4518695217754298E-2</v>
      </c>
      <c r="K482">
        <v>2.7503324257748499E-2</v>
      </c>
      <c r="L482">
        <v>7.1020472042501196E-3</v>
      </c>
      <c r="M482">
        <v>-1.1477475412402899E-2</v>
      </c>
      <c r="N482">
        <v>-1.04784925954179E-2</v>
      </c>
      <c r="O482">
        <v>-2.79527100886659E-2</v>
      </c>
      <c r="P482">
        <v>-2.7904548423501999E-2</v>
      </c>
      <c r="Q482">
        <v>-2.7210912752833199E-2</v>
      </c>
      <c r="R482">
        <v>-2.6577530222007501E-2</v>
      </c>
      <c r="S482">
        <v>-2.60649917347348E-2</v>
      </c>
      <c r="T482">
        <v>-2.54973976281101E-2</v>
      </c>
      <c r="U482">
        <v>-2.49772202996121E-2</v>
      </c>
      <c r="V482">
        <v>-2.4579657498513902E-2</v>
      </c>
      <c r="W482">
        <v>-2.4249972668960701E-2</v>
      </c>
      <c r="X482">
        <v>-2.41130878923538E-2</v>
      </c>
      <c r="Y482">
        <v>-7.3072864857129504E-3</v>
      </c>
      <c r="Z482">
        <v>1.47760237958206E-3</v>
      </c>
      <c r="AA482">
        <v>8.485925810403E-3</v>
      </c>
      <c r="AB482">
        <v>1.8116434372870801E-2</v>
      </c>
      <c r="AC482">
        <v>2.7005555765455599E-2</v>
      </c>
      <c r="AD482">
        <v>3.5940099768653401E-2</v>
      </c>
      <c r="AE482">
        <v>4.5117206647528899E-2</v>
      </c>
      <c r="AF482">
        <v>5.4210738155396197E-2</v>
      </c>
      <c r="AG482">
        <v>6.4193188002488299E-2</v>
      </c>
      <c r="AH482">
        <v>7.3807838950452606E-2</v>
      </c>
      <c r="AI482">
        <v>8.4642451250598896E-2</v>
      </c>
      <c r="AJ482">
        <v>9.4694443994587305E-2</v>
      </c>
      <c r="AK482">
        <v>0.104165852890524</v>
      </c>
      <c r="AL482">
        <v>0.113206548537366</v>
      </c>
      <c r="AM482">
        <v>0.122002108914207</v>
      </c>
      <c r="AN482">
        <v>0.12921016884054701</v>
      </c>
      <c r="AO482">
        <v>0.135965906096571</v>
      </c>
      <c r="AP482">
        <v>0.14276253112381301</v>
      </c>
      <c r="AQ482">
        <v>0.14928017738496699</v>
      </c>
      <c r="AR482">
        <v>0.15611481501440899</v>
      </c>
      <c r="AS482">
        <v>0.163125929243981</v>
      </c>
    </row>
    <row r="483" spans="1:45" hidden="1" x14ac:dyDescent="0.3">
      <c r="A483" t="s">
        <v>714</v>
      </c>
      <c r="B483" t="s">
        <v>686</v>
      </c>
      <c r="C483" t="s">
        <v>681</v>
      </c>
      <c r="D483" t="s">
        <v>680</v>
      </c>
      <c r="E483" t="s">
        <v>21</v>
      </c>
      <c r="F483">
        <v>-4.1421017007429501</v>
      </c>
      <c r="G483">
        <v>25.414653757839002</v>
      </c>
      <c r="H483">
        <v>38.8142374317598</v>
      </c>
      <c r="I483">
        <v>954.78846787103498</v>
      </c>
      <c r="J483">
        <v>0.14457927565170001</v>
      </c>
      <c r="K483">
        <v>0.144567245136</v>
      </c>
      <c r="L483">
        <v>0.14245561951999999</v>
      </c>
      <c r="M483">
        <v>0.14109694179856999</v>
      </c>
      <c r="N483">
        <v>0.140008786847866</v>
      </c>
      <c r="O483">
        <v>0.13877231673972801</v>
      </c>
      <c r="P483">
        <v>0.13676844516707001</v>
      </c>
      <c r="Q483">
        <v>0.13493288357967401</v>
      </c>
      <c r="R483">
        <v>0.13333657441149799</v>
      </c>
      <c r="S483">
        <v>0.13247620587227801</v>
      </c>
      <c r="T483">
        <v>0.131391303047449</v>
      </c>
      <c r="U483">
        <v>0.130505648276626</v>
      </c>
      <c r="V483">
        <v>0.12984465105364801</v>
      </c>
      <c r="W483">
        <v>0.12938969590990301</v>
      </c>
      <c r="X483">
        <v>0.12941581621801199</v>
      </c>
      <c r="Y483">
        <v>0.12947224569284299</v>
      </c>
      <c r="Z483">
        <v>0.12956663757051701</v>
      </c>
      <c r="AA483">
        <v>0.12932991504444799</v>
      </c>
      <c r="AB483">
        <v>0.12969140288235001</v>
      </c>
      <c r="AC483">
        <v>0.130114815657418</v>
      </c>
      <c r="AD483">
        <v>0.13092718900588299</v>
      </c>
      <c r="AE483">
        <v>0.13197902216555699</v>
      </c>
      <c r="AF483">
        <v>0.13296868185549099</v>
      </c>
      <c r="AG483">
        <v>0.134141688490477</v>
      </c>
      <c r="AH483">
        <v>0.13547303467866101</v>
      </c>
      <c r="AI483">
        <v>0.13687589565557801</v>
      </c>
      <c r="AJ483">
        <v>0.13834480905818899</v>
      </c>
      <c r="AK483">
        <v>0.13987894858768399</v>
      </c>
      <c r="AL483">
        <v>0.141450982578087</v>
      </c>
      <c r="AM483">
        <v>0.143054926017567</v>
      </c>
      <c r="AN483">
        <v>0.14467815427192099</v>
      </c>
      <c r="AO483">
        <v>0.14634470238254299</v>
      </c>
      <c r="AP483">
        <v>0.14812164084340601</v>
      </c>
      <c r="AQ483">
        <v>0.149788241993771</v>
      </c>
      <c r="AR483">
        <v>0.151489630916256</v>
      </c>
      <c r="AS483">
        <v>0.15308762509937801</v>
      </c>
    </row>
    <row r="484" spans="1:45" hidden="1" x14ac:dyDescent="0.3">
      <c r="A484" t="s">
        <v>714</v>
      </c>
      <c r="B484" t="s">
        <v>685</v>
      </c>
      <c r="C484" t="s">
        <v>681</v>
      </c>
      <c r="D484" t="s">
        <v>680</v>
      </c>
      <c r="E484" t="s">
        <v>21</v>
      </c>
      <c r="F484">
        <v>-4.1421017007429501</v>
      </c>
      <c r="G484">
        <v>25.414653757839002</v>
      </c>
      <c r="H484">
        <v>38.8142374317598</v>
      </c>
      <c r="I484">
        <v>954.78846787103498</v>
      </c>
      <c r="J484">
        <v>0.14457927565170001</v>
      </c>
      <c r="K484">
        <v>0.144567245136</v>
      </c>
      <c r="L484">
        <v>0.14245561951999999</v>
      </c>
      <c r="M484">
        <v>0.14109694179856999</v>
      </c>
      <c r="N484">
        <v>0.140008786847866</v>
      </c>
      <c r="O484">
        <v>0.13341572343202801</v>
      </c>
      <c r="P484">
        <v>0.12667033743937001</v>
      </c>
      <c r="Q484">
        <v>0.120371672044341</v>
      </c>
      <c r="R484">
        <v>0.11456416324744</v>
      </c>
      <c r="S484">
        <v>0.109618252526547</v>
      </c>
      <c r="T484">
        <v>0.10467954445309301</v>
      </c>
      <c r="U484">
        <v>0.10010005145535</v>
      </c>
      <c r="V484">
        <v>9.5872383188200794E-2</v>
      </c>
      <c r="W484">
        <v>9.1951087124287595E-2</v>
      </c>
      <c r="X484">
        <v>8.8496245348112207E-2</v>
      </c>
      <c r="Y484">
        <v>8.5168340050723407E-2</v>
      </c>
      <c r="Z484">
        <v>8.1971525514849902E-2</v>
      </c>
      <c r="AA484">
        <v>7.8632141908804201E-2</v>
      </c>
      <c r="AB484">
        <v>7.5590853046780093E-2</v>
      </c>
      <c r="AC484">
        <v>7.2671986487566398E-2</v>
      </c>
      <c r="AD484">
        <v>7.1862596401440895E-2</v>
      </c>
      <c r="AE484">
        <v>7.2195997528360201E-2</v>
      </c>
      <c r="AF484">
        <v>7.2496868707653497E-2</v>
      </c>
      <c r="AG484">
        <v>7.2898927894618798E-2</v>
      </c>
      <c r="AH484">
        <v>7.3387787054015205E-2</v>
      </c>
      <c r="AI484">
        <v>7.3915373196804496E-2</v>
      </c>
      <c r="AJ484">
        <v>7.4478463391368696E-2</v>
      </c>
      <c r="AK484">
        <v>7.5076411475406196E-2</v>
      </c>
      <c r="AL484">
        <v>7.5694204085752406E-2</v>
      </c>
      <c r="AM484">
        <v>7.6328518865396405E-2</v>
      </c>
      <c r="AN484">
        <v>7.6972667458475794E-2</v>
      </c>
      <c r="AO484">
        <v>7.7639507195480198E-2</v>
      </c>
      <c r="AP484">
        <v>7.8504469647004999E-2</v>
      </c>
      <c r="AQ484">
        <v>7.9387768256698701E-2</v>
      </c>
      <c r="AR484">
        <v>8.0289504385615607E-2</v>
      </c>
      <c r="AS484">
        <v>8.1136441302670406E-2</v>
      </c>
    </row>
    <row r="485" spans="1:45" hidden="1" x14ac:dyDescent="0.3">
      <c r="A485" t="s">
        <v>714</v>
      </c>
      <c r="B485" t="s">
        <v>684</v>
      </c>
      <c r="C485" t="s">
        <v>681</v>
      </c>
      <c r="D485" t="s">
        <v>680</v>
      </c>
      <c r="E485" t="s">
        <v>21</v>
      </c>
      <c r="F485">
        <v>-4.1421017007429501</v>
      </c>
      <c r="G485">
        <v>25.414653757839002</v>
      </c>
      <c r="H485">
        <v>7245.1447787595298</v>
      </c>
      <c r="I485">
        <v>178222.76413333701</v>
      </c>
      <c r="J485">
        <v>-1.49011611938477E-17</v>
      </c>
      <c r="K485">
        <v>-1.4435499906539901E-17</v>
      </c>
      <c r="L485">
        <v>6.5192580223083502E-18</v>
      </c>
      <c r="M485">
        <v>1.8626451492309598E-18</v>
      </c>
      <c r="N485">
        <v>-7.4505805969238301E-18</v>
      </c>
      <c r="O485">
        <v>9.2424752747183699E-5</v>
      </c>
      <c r="P485">
        <v>1.6943133317315399E-4</v>
      </c>
      <c r="Q485">
        <v>2.34949556154555E-4</v>
      </c>
      <c r="R485">
        <v>2.9112906970084102E-4</v>
      </c>
      <c r="S485">
        <v>3.4182526068755198E-4</v>
      </c>
      <c r="T485">
        <v>3.8661926272728702E-4</v>
      </c>
      <c r="U485">
        <v>4.26531552419841E-4</v>
      </c>
      <c r="V485">
        <v>4.6144817213128101E-4</v>
      </c>
      <c r="W485">
        <v>4.9246638780429995E-4</v>
      </c>
      <c r="X485">
        <v>5.2103526554062203E-4</v>
      </c>
      <c r="Y485">
        <v>5.3375444050492702E-4</v>
      </c>
      <c r="Z485">
        <v>5.3923840853273904E-4</v>
      </c>
      <c r="AA485">
        <v>5.6304185039829802E-4</v>
      </c>
      <c r="AB485">
        <v>5.87043409606606E-4</v>
      </c>
      <c r="AC485">
        <v>6.0925919275595596E-4</v>
      </c>
      <c r="AD485">
        <v>6.3142007569968702E-4</v>
      </c>
      <c r="AE485">
        <v>6.5343712479786202E-4</v>
      </c>
      <c r="AF485">
        <v>6.7434584374858404E-4</v>
      </c>
      <c r="AG485">
        <v>6.9512258207780897E-4</v>
      </c>
      <c r="AH485">
        <v>7.1569800534666296E-4</v>
      </c>
      <c r="AI485">
        <v>7.3543064141835303E-4</v>
      </c>
      <c r="AJ485">
        <v>7.5587378529242398E-4</v>
      </c>
      <c r="AK485">
        <v>7.7614364937667599E-4</v>
      </c>
      <c r="AL485">
        <v>7.9636804765407805E-4</v>
      </c>
      <c r="AM485">
        <v>8.1655963272045601E-4</v>
      </c>
      <c r="AN485">
        <v>8.2802547608910502E-4</v>
      </c>
      <c r="AO485">
        <v>8.4980538754867796E-4</v>
      </c>
      <c r="AP485">
        <v>8.7248849843825403E-4</v>
      </c>
      <c r="AQ485">
        <v>8.9471543108631695E-4</v>
      </c>
      <c r="AR485">
        <v>9.1673194615749995E-4</v>
      </c>
      <c r="AS485">
        <v>9.3738262659094499E-4</v>
      </c>
    </row>
    <row r="486" spans="1:45" hidden="1" x14ac:dyDescent="0.3">
      <c r="A486" t="s">
        <v>714</v>
      </c>
      <c r="B486" t="s">
        <v>682</v>
      </c>
      <c r="C486" t="s">
        <v>681</v>
      </c>
      <c r="D486" t="s">
        <v>680</v>
      </c>
      <c r="E486" t="s">
        <v>21</v>
      </c>
      <c r="F486">
        <v>-4.1421017007429501</v>
      </c>
      <c r="G486">
        <v>25.414653757839002</v>
      </c>
      <c r="H486">
        <v>7245.1447787595298</v>
      </c>
      <c r="I486">
        <v>178222.76413333701</v>
      </c>
      <c r="J486">
        <v>-1.49011611938477E-17</v>
      </c>
      <c r="K486">
        <v>-1.4435499906539901E-17</v>
      </c>
      <c r="L486">
        <v>6.5192580223083502E-18</v>
      </c>
      <c r="M486">
        <v>1.8626451492309598E-18</v>
      </c>
      <c r="N486">
        <v>-7.4505805969238301E-18</v>
      </c>
      <c r="O486">
        <v>8.7915439728458399E-5</v>
      </c>
      <c r="P486">
        <v>1.5450342991749899E-4</v>
      </c>
      <c r="Q486">
        <v>2.0600577168125301E-4</v>
      </c>
      <c r="R486">
        <v>2.45899258134052E-4</v>
      </c>
      <c r="S486">
        <v>2.7839485086197799E-4</v>
      </c>
      <c r="T486">
        <v>3.0371942519091799E-4</v>
      </c>
      <c r="U486">
        <v>3.23304055415999E-4</v>
      </c>
      <c r="V486">
        <v>3.3751832535436398E-4</v>
      </c>
      <c r="W486">
        <v>3.4754742410262099E-4</v>
      </c>
      <c r="X486">
        <v>3.5468696710318502E-4</v>
      </c>
      <c r="Y486">
        <v>3.5028157808477198E-4</v>
      </c>
      <c r="Z486">
        <v>3.4123178028890901E-4</v>
      </c>
      <c r="AA486">
        <v>3.4335445007565403E-4</v>
      </c>
      <c r="AB486">
        <v>3.4395360983490402E-4</v>
      </c>
      <c r="AC486">
        <v>3.4286531167493801E-4</v>
      </c>
      <c r="AD486">
        <v>3.4915080674253801E-4</v>
      </c>
      <c r="AE486">
        <v>3.5963136843478698E-4</v>
      </c>
      <c r="AF486">
        <v>3.6949482240547201E-4</v>
      </c>
      <c r="AG486">
        <v>3.79277444882527E-4</v>
      </c>
      <c r="AH486">
        <v>3.88940757107675E-4</v>
      </c>
      <c r="AI486">
        <v>3.9813376990423E-4</v>
      </c>
      <c r="AJ486">
        <v>4.0770065491661399E-4</v>
      </c>
      <c r="AK486">
        <v>4.1715869611530802E-4</v>
      </c>
      <c r="AL486">
        <v>4.2657547024513E-4</v>
      </c>
      <c r="AM486">
        <v>4.3595670213602899E-4</v>
      </c>
      <c r="AN486">
        <v>4.40688274146531E-4</v>
      </c>
      <c r="AO486">
        <v>4.5088111827708001E-4</v>
      </c>
      <c r="AP486">
        <v>4.62418904172264E-4</v>
      </c>
      <c r="AQ486">
        <v>4.7419917847574901E-4</v>
      </c>
      <c r="AR486">
        <v>4.8586793146343499E-4</v>
      </c>
      <c r="AS486">
        <v>4.9681279209320202E-4</v>
      </c>
    </row>
    <row r="487" spans="1:45" hidden="1" x14ac:dyDescent="0.3">
      <c r="A487" t="s">
        <v>713</v>
      </c>
      <c r="B487" t="s">
        <v>686</v>
      </c>
      <c r="C487" t="s">
        <v>681</v>
      </c>
      <c r="D487" t="s">
        <v>680</v>
      </c>
      <c r="E487" t="s">
        <v>696</v>
      </c>
      <c r="F487">
        <v>999</v>
      </c>
      <c r="G487">
        <v>0</v>
      </c>
      <c r="H487">
        <v>-2.6371602585681702</v>
      </c>
      <c r="I487">
        <v>-64.871304176347905</v>
      </c>
      <c r="J487">
        <v>0.26500056415950002</v>
      </c>
      <c r="K487">
        <v>0.26248307039129998</v>
      </c>
      <c r="L487">
        <v>0.23294661668087499</v>
      </c>
      <c r="M487">
        <v>0.29295981499621698</v>
      </c>
      <c r="N487">
        <v>0.27058159661800302</v>
      </c>
      <c r="O487">
        <v>0.27518180170879802</v>
      </c>
      <c r="P487">
        <v>0.27547336818560098</v>
      </c>
      <c r="Q487">
        <v>0.275627951111869</v>
      </c>
      <c r="R487">
        <v>0.27468493083367101</v>
      </c>
      <c r="S487">
        <v>0.27420396469676001</v>
      </c>
      <c r="T487">
        <v>0.27239413309461202</v>
      </c>
      <c r="U487">
        <v>0.27058853816356598</v>
      </c>
      <c r="V487">
        <v>0.26928678763775699</v>
      </c>
      <c r="W487">
        <v>0.268293531903458</v>
      </c>
      <c r="X487">
        <v>0.26811725082833099</v>
      </c>
      <c r="Y487">
        <v>0.26764825663183101</v>
      </c>
      <c r="Z487">
        <v>0.26689896075674702</v>
      </c>
      <c r="AA487">
        <v>0.26506741367005399</v>
      </c>
      <c r="AB487">
        <v>0.26406354297331702</v>
      </c>
      <c r="AC487">
        <v>0.26309276869549603</v>
      </c>
      <c r="AD487">
        <v>0.262694899556909</v>
      </c>
      <c r="AE487">
        <v>0.26258458800356499</v>
      </c>
      <c r="AF487">
        <v>0.26228222747421698</v>
      </c>
      <c r="AG487">
        <v>0.26208232159427403</v>
      </c>
      <c r="AH487">
        <v>0.26200766490690902</v>
      </c>
      <c r="AI487">
        <v>0.26194674702993198</v>
      </c>
      <c r="AJ487">
        <v>0.26169998491155599</v>
      </c>
      <c r="AK487">
        <v>0.26155290825906802</v>
      </c>
      <c r="AL487">
        <v>0.26152184577941601</v>
      </c>
      <c r="AM487">
        <v>0.26152854624014699</v>
      </c>
      <c r="AN487">
        <v>0.26147773074776098</v>
      </c>
      <c r="AO487">
        <v>0.26152908105585398</v>
      </c>
      <c r="AP487">
        <v>0.26161804500360702</v>
      </c>
      <c r="AQ487">
        <v>0.261570860060717</v>
      </c>
      <c r="AR487">
        <v>0.26177140189376003</v>
      </c>
      <c r="AS487">
        <v>0.262108099442244</v>
      </c>
    </row>
    <row r="488" spans="1:45" hidden="1" x14ac:dyDescent="0.3">
      <c r="A488" t="s">
        <v>713</v>
      </c>
      <c r="B488" t="s">
        <v>685</v>
      </c>
      <c r="C488" t="s">
        <v>681</v>
      </c>
      <c r="D488" t="s">
        <v>680</v>
      </c>
      <c r="E488" t="s">
        <v>696</v>
      </c>
      <c r="F488">
        <v>999</v>
      </c>
      <c r="G488">
        <v>0</v>
      </c>
      <c r="H488">
        <v>-2.6371602585681702</v>
      </c>
      <c r="I488">
        <v>-64.871304176347905</v>
      </c>
      <c r="J488">
        <v>0.26500056415950002</v>
      </c>
      <c r="K488">
        <v>0.26248307039129998</v>
      </c>
      <c r="L488">
        <v>0.23294661668087499</v>
      </c>
      <c r="M488">
        <v>0.29295981499621698</v>
      </c>
      <c r="N488">
        <v>0.27058159661800302</v>
      </c>
      <c r="O488">
        <v>0.26580064212441901</v>
      </c>
      <c r="P488">
        <v>0.25764345100882502</v>
      </c>
      <c r="Q488">
        <v>0.249691280579009</v>
      </c>
      <c r="R488">
        <v>0.24123382129551499</v>
      </c>
      <c r="S488">
        <v>0.23359093803613701</v>
      </c>
      <c r="T488">
        <v>0.225207859666049</v>
      </c>
      <c r="U488">
        <v>0.21726338401880199</v>
      </c>
      <c r="V488">
        <v>0.21011214477162299</v>
      </c>
      <c r="W488">
        <v>0.20354867805698701</v>
      </c>
      <c r="X488">
        <v>0.19789570027175901</v>
      </c>
      <c r="Y488">
        <v>0.19229958388384499</v>
      </c>
      <c r="Z488">
        <v>0.186685569721776</v>
      </c>
      <c r="AA488">
        <v>0.18033654297304999</v>
      </c>
      <c r="AB488">
        <v>0.174893626621134</v>
      </c>
      <c r="AC488">
        <v>0.17249893936712599</v>
      </c>
      <c r="AD488">
        <v>0.17247673755828999</v>
      </c>
      <c r="AE488">
        <v>0.172637723522786</v>
      </c>
      <c r="AF488">
        <v>0.172682569186037</v>
      </c>
      <c r="AG488">
        <v>0.172792280834314</v>
      </c>
      <c r="AH488">
        <v>0.17297765316913499</v>
      </c>
      <c r="AI488">
        <v>0.17318548410720899</v>
      </c>
      <c r="AJ488">
        <v>0.17326777205131799</v>
      </c>
      <c r="AK488">
        <v>0.173405067802573</v>
      </c>
      <c r="AL488">
        <v>0.17361825297920699</v>
      </c>
      <c r="AM488">
        <v>0.17385202241431799</v>
      </c>
      <c r="AN488">
        <v>0.174223484978341</v>
      </c>
      <c r="AO488">
        <v>0.174802421028353</v>
      </c>
      <c r="AP488">
        <v>0.175395409623296</v>
      </c>
      <c r="AQ488">
        <v>0.17587805020488401</v>
      </c>
      <c r="AR488">
        <v>0.176530210745036</v>
      </c>
      <c r="AS488">
        <v>0.17726984769382001</v>
      </c>
    </row>
    <row r="489" spans="1:45" hidden="1" x14ac:dyDescent="0.3">
      <c r="A489" t="s">
        <v>713</v>
      </c>
      <c r="B489" t="s">
        <v>684</v>
      </c>
      <c r="C489" t="s">
        <v>681</v>
      </c>
      <c r="D489" t="s">
        <v>680</v>
      </c>
      <c r="E489" t="s">
        <v>696</v>
      </c>
      <c r="F489">
        <v>999</v>
      </c>
      <c r="G489">
        <v>0</v>
      </c>
      <c r="H489">
        <v>-208.50677093527901</v>
      </c>
      <c r="I489">
        <v>-5129.0421642839801</v>
      </c>
      <c r="J489">
        <v>4.0533916614688098E-4</v>
      </c>
      <c r="K489">
        <v>4.3726920227214798E-4</v>
      </c>
      <c r="L489">
        <v>2.1123738907339801E-4</v>
      </c>
      <c r="M489">
        <v>2.09264413008769E-4</v>
      </c>
      <c r="N489">
        <v>1.8032228834693201E-4</v>
      </c>
      <c r="O489">
        <v>1.3603983578333401E-3</v>
      </c>
      <c r="P489">
        <v>2.28090228297387E-3</v>
      </c>
      <c r="Q489">
        <v>3.14938632839726E-3</v>
      </c>
      <c r="R489">
        <v>3.9084228689120898E-3</v>
      </c>
      <c r="S489">
        <v>4.6365321977912197E-3</v>
      </c>
      <c r="T489">
        <v>4.90307165277944E-3</v>
      </c>
      <c r="U489">
        <v>5.1671714952833004E-3</v>
      </c>
      <c r="V489">
        <v>5.4248279202871001E-3</v>
      </c>
      <c r="W489">
        <v>5.6816555340491398E-3</v>
      </c>
      <c r="X489">
        <v>5.9188726479381601E-3</v>
      </c>
      <c r="Y489">
        <v>5.5725690389511204E-3</v>
      </c>
      <c r="Z489">
        <v>5.3841959854611498E-3</v>
      </c>
      <c r="AA489">
        <v>5.20246326649337E-3</v>
      </c>
      <c r="AB489">
        <v>5.0884878206823702E-3</v>
      </c>
      <c r="AC489">
        <v>4.9509937435556596E-3</v>
      </c>
      <c r="AD489">
        <v>4.8405148696411601E-3</v>
      </c>
      <c r="AE489">
        <v>4.7252747863908203E-3</v>
      </c>
      <c r="AF489">
        <v>4.5651175947224202E-3</v>
      </c>
      <c r="AG489">
        <v>4.4483084258211403E-3</v>
      </c>
      <c r="AH489">
        <v>4.29220895588247E-3</v>
      </c>
      <c r="AI489">
        <v>4.0447571147684E-3</v>
      </c>
      <c r="AJ489">
        <v>3.7847659400280301E-3</v>
      </c>
      <c r="AK489">
        <v>3.52650417740747E-3</v>
      </c>
      <c r="AL489">
        <v>3.2767805230489999E-3</v>
      </c>
      <c r="AM489">
        <v>3.0350191040705802E-3</v>
      </c>
      <c r="AN489">
        <v>2.77504086422331E-3</v>
      </c>
      <c r="AO489">
        <v>2.51767143785298E-3</v>
      </c>
      <c r="AP489">
        <v>2.2847573898449199E-3</v>
      </c>
      <c r="AQ489">
        <v>2.07396163121927E-3</v>
      </c>
      <c r="AR489">
        <v>1.8867818200017899E-3</v>
      </c>
      <c r="AS489">
        <v>1.71898515933533E-3</v>
      </c>
    </row>
    <row r="490" spans="1:45" hidden="1" x14ac:dyDescent="0.3">
      <c r="A490" t="s">
        <v>713</v>
      </c>
      <c r="B490" t="s">
        <v>682</v>
      </c>
      <c r="C490" t="s">
        <v>681</v>
      </c>
      <c r="D490" t="s">
        <v>680</v>
      </c>
      <c r="E490" t="s">
        <v>696</v>
      </c>
      <c r="F490">
        <v>999</v>
      </c>
      <c r="G490">
        <v>0</v>
      </c>
      <c r="H490">
        <v>-208.50677093527901</v>
      </c>
      <c r="I490">
        <v>-5129.0421642839801</v>
      </c>
      <c r="J490">
        <v>4.0507744412267998E-4</v>
      </c>
      <c r="K490">
        <v>4.3667002179494102E-4</v>
      </c>
      <c r="L490">
        <v>2.09606831383648E-4</v>
      </c>
      <c r="M490">
        <v>2.0618947022652299E-4</v>
      </c>
      <c r="N490">
        <v>1.7640183272010399E-4</v>
      </c>
      <c r="O490">
        <v>1.29451973862053E-3</v>
      </c>
      <c r="P490">
        <v>2.1156763799682499E-3</v>
      </c>
      <c r="Q490">
        <v>2.8517890199863702E-3</v>
      </c>
      <c r="R490">
        <v>3.4638604686395699E-3</v>
      </c>
      <c r="S490">
        <v>4.0259616856674497E-3</v>
      </c>
      <c r="T490">
        <v>4.1802293037034701E-3</v>
      </c>
      <c r="U490">
        <v>4.3281989436349897E-3</v>
      </c>
      <c r="V490">
        <v>4.4673951238314597E-3</v>
      </c>
      <c r="W490">
        <v>4.6028616359686499E-3</v>
      </c>
      <c r="X490">
        <v>4.71566131092692E-3</v>
      </c>
      <c r="Y490">
        <v>4.3359042782576901E-3</v>
      </c>
      <c r="Z490">
        <v>4.0904465826386701E-3</v>
      </c>
      <c r="AA490">
        <v>3.8632829444111699E-3</v>
      </c>
      <c r="AB490">
        <v>3.7013691653514798E-3</v>
      </c>
      <c r="AC490">
        <v>3.5643312049763098E-3</v>
      </c>
      <c r="AD490">
        <v>3.4744490024475102E-3</v>
      </c>
      <c r="AE490">
        <v>3.3864383248028299E-3</v>
      </c>
      <c r="AF490">
        <v>3.2703494884836399E-3</v>
      </c>
      <c r="AG490">
        <v>3.19528898199543E-3</v>
      </c>
      <c r="AH490">
        <v>3.09089441465734E-3</v>
      </c>
      <c r="AI490">
        <v>2.9221188712708602E-3</v>
      </c>
      <c r="AJ490">
        <v>2.7441546774787202E-3</v>
      </c>
      <c r="AK490">
        <v>2.5668766908172498E-3</v>
      </c>
      <c r="AL490">
        <v>2.3950179520260901E-3</v>
      </c>
      <c r="AM490">
        <v>2.22826712792002E-3</v>
      </c>
      <c r="AN490">
        <v>2.0468624220861499E-3</v>
      </c>
      <c r="AO490">
        <v>1.8658425839080601E-3</v>
      </c>
      <c r="AP490">
        <v>1.70119882817244E-3</v>
      </c>
      <c r="AQ490">
        <v>1.5513122021075399E-3</v>
      </c>
      <c r="AR490">
        <v>1.41790659146101E-3</v>
      </c>
      <c r="AS490">
        <v>1.2978216987443801E-3</v>
      </c>
    </row>
    <row r="491" spans="1:45" hidden="1" x14ac:dyDescent="0.3">
      <c r="A491" t="s">
        <v>712</v>
      </c>
      <c r="B491" t="s">
        <v>686</v>
      </c>
      <c r="C491" t="s">
        <v>681</v>
      </c>
      <c r="D491" t="s">
        <v>680</v>
      </c>
      <c r="E491" t="s">
        <v>696</v>
      </c>
      <c r="F491">
        <v>1.2686790127426599</v>
      </c>
      <c r="G491">
        <v>14.3984052524721</v>
      </c>
      <c r="H491">
        <v>22.696408578516401</v>
      </c>
      <c r="I491">
        <v>411.66587415065999</v>
      </c>
      <c r="J491">
        <v>0.87284320666789905</v>
      </c>
      <c r="K491">
        <v>0.83085983903570604</v>
      </c>
      <c r="L491">
        <v>0.79737554667831301</v>
      </c>
      <c r="M491">
        <v>0.95398204091782302</v>
      </c>
      <c r="N491">
        <v>0.87684293672785796</v>
      </c>
      <c r="O491">
        <v>0.88739068035047997</v>
      </c>
      <c r="P491">
        <v>0.88708167536221905</v>
      </c>
      <c r="Q491">
        <v>0.88533518022563296</v>
      </c>
      <c r="R491">
        <v>0.88247253030043504</v>
      </c>
      <c r="S491">
        <v>0.88007966856116404</v>
      </c>
      <c r="T491">
        <v>0.87644342854458701</v>
      </c>
      <c r="U491">
        <v>0.87376968606885896</v>
      </c>
      <c r="V491">
        <v>0.87308839272973005</v>
      </c>
      <c r="W491">
        <v>0.87363384052208004</v>
      </c>
      <c r="X491">
        <v>0.87617980161880404</v>
      </c>
      <c r="Y491">
        <v>0.87885722143567802</v>
      </c>
      <c r="Z491">
        <v>0.88187614438841699</v>
      </c>
      <c r="AA491">
        <v>0.88319114395975595</v>
      </c>
      <c r="AB491">
        <v>0.88587544064413104</v>
      </c>
      <c r="AC491">
        <v>0.88940046091278901</v>
      </c>
      <c r="AD491">
        <v>0.89410299200648602</v>
      </c>
      <c r="AE491">
        <v>0.89909296710723696</v>
      </c>
      <c r="AF491">
        <v>0.90415632868900597</v>
      </c>
      <c r="AG491">
        <v>0.90955189512432999</v>
      </c>
      <c r="AH491">
        <v>0.91517086653690904</v>
      </c>
      <c r="AI491">
        <v>0.92104224021148695</v>
      </c>
      <c r="AJ491">
        <v>0.92649064903896505</v>
      </c>
      <c r="AK491">
        <v>0.93231832054519403</v>
      </c>
      <c r="AL491">
        <v>0.93818659928315395</v>
      </c>
      <c r="AM491">
        <v>0.94410152096269295</v>
      </c>
      <c r="AN491">
        <v>0.94990573456692295</v>
      </c>
      <c r="AO491">
        <v>0.95608127519604202</v>
      </c>
      <c r="AP491">
        <v>0.96203320675786197</v>
      </c>
      <c r="AQ491">
        <v>0.96747398649635497</v>
      </c>
      <c r="AR491">
        <v>0.97309705985673101</v>
      </c>
      <c r="AS491">
        <v>0.97918227356801402</v>
      </c>
    </row>
    <row r="492" spans="1:45" hidden="1" x14ac:dyDescent="0.3">
      <c r="A492" t="s">
        <v>712</v>
      </c>
      <c r="B492" t="s">
        <v>685</v>
      </c>
      <c r="C492" t="s">
        <v>681</v>
      </c>
      <c r="D492" t="s">
        <v>680</v>
      </c>
      <c r="E492" t="s">
        <v>696</v>
      </c>
      <c r="F492">
        <v>1.2686790127426599</v>
      </c>
      <c r="G492">
        <v>14.3984052524721</v>
      </c>
      <c r="H492">
        <v>22.696408578516401</v>
      </c>
      <c r="I492">
        <v>411.66587415065999</v>
      </c>
      <c r="J492">
        <v>0.87284320666789905</v>
      </c>
      <c r="K492">
        <v>0.83085983903570604</v>
      </c>
      <c r="L492">
        <v>0.79737554667831301</v>
      </c>
      <c r="M492">
        <v>0.95398204091782302</v>
      </c>
      <c r="N492">
        <v>0.87684293672785796</v>
      </c>
      <c r="O492">
        <v>0.85602147208295898</v>
      </c>
      <c r="P492">
        <v>0.82671697221921403</v>
      </c>
      <c r="Q492">
        <v>0.79686867682610896</v>
      </c>
      <c r="R492">
        <v>0.76719591076157001</v>
      </c>
      <c r="S492">
        <v>0.739236777395744</v>
      </c>
      <c r="T492">
        <v>0.71089604415054297</v>
      </c>
      <c r="U492">
        <v>0.68435344484053795</v>
      </c>
      <c r="V492">
        <v>0.66040731560241905</v>
      </c>
      <c r="W492">
        <v>0.63829250936608595</v>
      </c>
      <c r="X492">
        <v>0.61918029023180599</v>
      </c>
      <c r="Y492">
        <v>0.60173940005383197</v>
      </c>
      <c r="Z492">
        <v>0.58483958663230695</v>
      </c>
      <c r="AA492">
        <v>0.56676788351294505</v>
      </c>
      <c r="AB492">
        <v>0.55061939917969205</v>
      </c>
      <c r="AC492">
        <v>0.53664694910240596</v>
      </c>
      <c r="AD492">
        <v>0.52466242080968595</v>
      </c>
      <c r="AE492">
        <v>0.516102903169949</v>
      </c>
      <c r="AF492">
        <v>0.50847079398653205</v>
      </c>
      <c r="AG492">
        <v>0.50368288034416597</v>
      </c>
      <c r="AH492">
        <v>0.50575665248280999</v>
      </c>
      <c r="AI492">
        <v>0.50815102976398596</v>
      </c>
      <c r="AJ492">
        <v>0.51066968565690396</v>
      </c>
      <c r="AK492">
        <v>0.51357564085019902</v>
      </c>
      <c r="AL492">
        <v>0.51657274658924501</v>
      </c>
      <c r="AM492">
        <v>0.51970014681455201</v>
      </c>
      <c r="AN492">
        <v>0.52278145842102797</v>
      </c>
      <c r="AO492">
        <v>0.52620813195149196</v>
      </c>
      <c r="AP492">
        <v>0.52966987907872998</v>
      </c>
      <c r="AQ492">
        <v>0.53267867479143105</v>
      </c>
      <c r="AR492">
        <v>0.53617964140974295</v>
      </c>
      <c r="AS492">
        <v>0.53994396437811998</v>
      </c>
    </row>
    <row r="493" spans="1:45" hidden="1" x14ac:dyDescent="0.3">
      <c r="A493" t="s">
        <v>712</v>
      </c>
      <c r="B493" t="s">
        <v>684</v>
      </c>
      <c r="C493" t="s">
        <v>681</v>
      </c>
      <c r="D493" t="s">
        <v>680</v>
      </c>
      <c r="E493" t="s">
        <v>696</v>
      </c>
      <c r="F493">
        <v>1.2686790127426599</v>
      </c>
      <c r="G493">
        <v>14.3984052524721</v>
      </c>
      <c r="H493">
        <v>3379.9480771667199</v>
      </c>
      <c r="I493">
        <v>68191.483992505993</v>
      </c>
      <c r="J493">
        <v>1.8048194533560201E-3</v>
      </c>
      <c r="K493">
        <v>1.72714470072299E-3</v>
      </c>
      <c r="L493">
        <v>1.12558280123326E-3</v>
      </c>
      <c r="M493">
        <v>1.27530616303325E-3</v>
      </c>
      <c r="N493">
        <v>1.1000761748890199E-3</v>
      </c>
      <c r="O493">
        <v>2.1434198172742198E-3</v>
      </c>
      <c r="P493">
        <v>3.5445340117197001E-3</v>
      </c>
      <c r="Q493">
        <v>4.9092470203009999E-3</v>
      </c>
      <c r="R493">
        <v>6.14530939022456E-3</v>
      </c>
      <c r="S493">
        <v>7.3210911042617599E-3</v>
      </c>
      <c r="T493">
        <v>7.9865865468739805E-3</v>
      </c>
      <c r="U493">
        <v>8.6264611948926994E-3</v>
      </c>
      <c r="V493">
        <v>9.2377341546463505E-3</v>
      </c>
      <c r="W493">
        <v>9.8370582725880295E-3</v>
      </c>
      <c r="X493">
        <v>1.06221319933718E-2</v>
      </c>
      <c r="Y493">
        <v>9.5386580936900906E-3</v>
      </c>
      <c r="Z493">
        <v>9.2238273301967592E-3</v>
      </c>
      <c r="AA493">
        <v>9.055051647048E-3</v>
      </c>
      <c r="AB493">
        <v>8.7510439723151208E-3</v>
      </c>
      <c r="AC493">
        <v>8.5409274453424801E-3</v>
      </c>
      <c r="AD493">
        <v>8.3962985004343901E-3</v>
      </c>
      <c r="AE493">
        <v>8.2434815701773901E-3</v>
      </c>
      <c r="AF493">
        <v>8.0786691861589495E-3</v>
      </c>
      <c r="AG493">
        <v>7.9856978311396796E-3</v>
      </c>
      <c r="AH493">
        <v>7.8207253208440707E-3</v>
      </c>
      <c r="AI493">
        <v>7.4695357041995704E-3</v>
      </c>
      <c r="AJ493">
        <v>7.0880948600780301E-3</v>
      </c>
      <c r="AK493">
        <v>6.7105964755772296E-3</v>
      </c>
      <c r="AL493">
        <v>6.3455698384761797E-3</v>
      </c>
      <c r="AM493">
        <v>5.9906142569694102E-3</v>
      </c>
      <c r="AN493">
        <v>5.5941939787193303E-3</v>
      </c>
      <c r="AO493">
        <v>5.1954340625038897E-3</v>
      </c>
      <c r="AP493">
        <v>4.83163815945127E-3</v>
      </c>
      <c r="AQ493">
        <v>4.4977914258522798E-3</v>
      </c>
      <c r="AR493">
        <v>4.1974077884261796E-3</v>
      </c>
      <c r="AS493">
        <v>3.928451895538E-3</v>
      </c>
    </row>
    <row r="494" spans="1:45" hidden="1" x14ac:dyDescent="0.3">
      <c r="A494" t="s">
        <v>712</v>
      </c>
      <c r="B494" t="s">
        <v>682</v>
      </c>
      <c r="C494" t="s">
        <v>681</v>
      </c>
      <c r="D494" t="s">
        <v>680</v>
      </c>
      <c r="E494" t="s">
        <v>696</v>
      </c>
      <c r="F494">
        <v>1.2686790127426599</v>
      </c>
      <c r="G494">
        <v>14.3984052524721</v>
      </c>
      <c r="H494">
        <v>3379.9480771667199</v>
      </c>
      <c r="I494">
        <v>68191.483992505993</v>
      </c>
      <c r="J494">
        <v>1.80395685608618E-3</v>
      </c>
      <c r="K494">
        <v>1.72544870836621E-3</v>
      </c>
      <c r="L494">
        <v>1.1171009504501201E-3</v>
      </c>
      <c r="M494">
        <v>1.2549879688331499E-3</v>
      </c>
      <c r="N494">
        <v>1.07329064610275E-3</v>
      </c>
      <c r="O494">
        <v>1.9853101881413E-3</v>
      </c>
      <c r="P494">
        <v>3.15650385256195E-3</v>
      </c>
      <c r="Q494">
        <v>4.2183431977513199E-3</v>
      </c>
      <c r="R494">
        <v>5.1101998592599403E-3</v>
      </c>
      <c r="S494">
        <v>5.9061162865821299E-3</v>
      </c>
      <c r="T494">
        <v>6.2574497827929797E-3</v>
      </c>
      <c r="U494">
        <v>6.5723072503256798E-3</v>
      </c>
      <c r="V494">
        <v>6.8531024811862599E-3</v>
      </c>
      <c r="W494">
        <v>7.1153607003431301E-3</v>
      </c>
      <c r="X494">
        <v>7.5118753081960402E-3</v>
      </c>
      <c r="Y494">
        <v>6.5935397790711E-3</v>
      </c>
      <c r="Z494">
        <v>6.2531657141111198E-3</v>
      </c>
      <c r="AA494">
        <v>6.0192179057424102E-3</v>
      </c>
      <c r="AB494">
        <v>5.6972365035251301E-3</v>
      </c>
      <c r="AC494">
        <v>5.4673213167932702E-3</v>
      </c>
      <c r="AD494">
        <v>5.3040391835568901E-3</v>
      </c>
      <c r="AE494">
        <v>5.1793845724315297E-3</v>
      </c>
      <c r="AF494">
        <v>5.05698925502237E-3</v>
      </c>
      <c r="AG494">
        <v>5.0015978720727404E-3</v>
      </c>
      <c r="AH494">
        <v>4.9070770819943203E-3</v>
      </c>
      <c r="AI494">
        <v>4.6969642336194299E-3</v>
      </c>
      <c r="AJ494">
        <v>4.46927677342282E-3</v>
      </c>
      <c r="AK494">
        <v>4.2429470985506602E-3</v>
      </c>
      <c r="AL494">
        <v>4.0219115827916001E-3</v>
      </c>
      <c r="AM494">
        <v>3.8064599407203401E-3</v>
      </c>
      <c r="AN494">
        <v>3.5581471552514799E-3</v>
      </c>
      <c r="AO494">
        <v>3.3036157551965002E-3</v>
      </c>
      <c r="AP494">
        <v>3.0706719810565299E-3</v>
      </c>
      <c r="AQ494">
        <v>2.8560717181519298E-3</v>
      </c>
      <c r="AR494">
        <v>2.6646701650406401E-3</v>
      </c>
      <c r="AS494">
        <v>2.4922737874957801E-3</v>
      </c>
    </row>
    <row r="495" spans="1:45" hidden="1" x14ac:dyDescent="0.3">
      <c r="A495" t="s">
        <v>711</v>
      </c>
      <c r="B495" t="s">
        <v>686</v>
      </c>
      <c r="C495" t="s">
        <v>681</v>
      </c>
      <c r="D495" t="s">
        <v>680</v>
      </c>
      <c r="E495" t="s">
        <v>22</v>
      </c>
      <c r="F495">
        <v>38.553247353625999</v>
      </c>
      <c r="G495">
        <v>2.5564109014272201</v>
      </c>
      <c r="H495">
        <v>4.5472586336115004</v>
      </c>
      <c r="I495">
        <v>111.857668501988</v>
      </c>
      <c r="J495">
        <v>0.34761580864769998</v>
      </c>
      <c r="K495">
        <v>0.34809760228140002</v>
      </c>
      <c r="L495">
        <v>0.34749909686656799</v>
      </c>
      <c r="M495">
        <v>0.351235037151025</v>
      </c>
      <c r="N495">
        <v>0.353280364807259</v>
      </c>
      <c r="O495">
        <v>0.35281057063096999</v>
      </c>
      <c r="P495">
        <v>0.349322297597359</v>
      </c>
      <c r="Q495">
        <v>0.34715233219828201</v>
      </c>
      <c r="R495">
        <v>0.345511183090563</v>
      </c>
      <c r="S495">
        <v>0.34473137281190103</v>
      </c>
      <c r="T495">
        <v>0.34230290637863398</v>
      </c>
      <c r="U495">
        <v>0.340088290492089</v>
      </c>
      <c r="V495">
        <v>0.33869949214484601</v>
      </c>
      <c r="W495">
        <v>0.33791810389688598</v>
      </c>
      <c r="X495">
        <v>0.33826143257775299</v>
      </c>
      <c r="Y495">
        <v>0.33837658346694</v>
      </c>
      <c r="Z495">
        <v>0.33832300185134601</v>
      </c>
      <c r="AA495">
        <v>0.33722574001519201</v>
      </c>
      <c r="AB495">
        <v>0.33736074907283597</v>
      </c>
      <c r="AC495">
        <v>0.33743637155851403</v>
      </c>
      <c r="AD495">
        <v>0.33827749353437098</v>
      </c>
      <c r="AE495">
        <v>0.33937678370803598</v>
      </c>
      <c r="AF495">
        <v>0.33994124487363198</v>
      </c>
      <c r="AG495">
        <v>0.340634840914319</v>
      </c>
      <c r="AH495">
        <v>0.341592937674492</v>
      </c>
      <c r="AI495">
        <v>0.34272035619711699</v>
      </c>
      <c r="AJ495">
        <v>0.34343609979800299</v>
      </c>
      <c r="AK495">
        <v>0.34431823006685303</v>
      </c>
      <c r="AL495">
        <v>0.34531575563449401</v>
      </c>
      <c r="AM495">
        <v>0.34653278700022</v>
      </c>
      <c r="AN495">
        <v>0.34777786340953798</v>
      </c>
      <c r="AO495">
        <v>0.34910738412348002</v>
      </c>
      <c r="AP495">
        <v>0.35067920650303203</v>
      </c>
      <c r="AQ495">
        <v>0.352001071884678</v>
      </c>
      <c r="AR495">
        <v>0.35366607554642898</v>
      </c>
      <c r="AS495">
        <v>0.35528747206821398</v>
      </c>
    </row>
    <row r="496" spans="1:45" hidden="1" x14ac:dyDescent="0.3">
      <c r="A496" t="s">
        <v>711</v>
      </c>
      <c r="B496" t="s">
        <v>685</v>
      </c>
      <c r="C496" t="s">
        <v>681</v>
      </c>
      <c r="D496" t="s">
        <v>680</v>
      </c>
      <c r="E496" t="s">
        <v>22</v>
      </c>
      <c r="F496">
        <v>38.553247353625999</v>
      </c>
      <c r="G496">
        <v>2.5564109014272201</v>
      </c>
      <c r="H496">
        <v>4.5472586336115004</v>
      </c>
      <c r="I496">
        <v>111.857668501988</v>
      </c>
      <c r="J496">
        <v>0.34761580864769998</v>
      </c>
      <c r="K496">
        <v>0.34809760228140002</v>
      </c>
      <c r="L496">
        <v>0.34749909686656799</v>
      </c>
      <c r="M496">
        <v>0.351235037151025</v>
      </c>
      <c r="N496">
        <v>0.353280364807259</v>
      </c>
      <c r="O496">
        <v>0.32950456855069099</v>
      </c>
      <c r="P496">
        <v>0.30557016319736902</v>
      </c>
      <c r="Q496">
        <v>0.28381440441175199</v>
      </c>
      <c r="R496">
        <v>0.26345779326145402</v>
      </c>
      <c r="S496">
        <v>0.24457949787761499</v>
      </c>
      <c r="T496">
        <v>0.22532480217133999</v>
      </c>
      <c r="U496">
        <v>0.207093101086464</v>
      </c>
      <c r="V496">
        <v>0.19015297525258301</v>
      </c>
      <c r="W496">
        <v>0.173873744798097</v>
      </c>
      <c r="X496">
        <v>0.15798904225539701</v>
      </c>
      <c r="Y496">
        <v>0.142521382425845</v>
      </c>
      <c r="Z496">
        <v>0.127518618983085</v>
      </c>
      <c r="AA496">
        <v>0.119193830512652</v>
      </c>
      <c r="AB496">
        <v>0.118072725592804</v>
      </c>
      <c r="AC496">
        <v>0.11694511916009601</v>
      </c>
      <c r="AD496">
        <v>0.11609614265269699</v>
      </c>
      <c r="AE496">
        <v>0.1153464997653</v>
      </c>
      <c r="AF496">
        <v>0.114426111040751</v>
      </c>
      <c r="AG496">
        <v>0.113561336337667</v>
      </c>
      <c r="AH496">
        <v>0.112795377573743</v>
      </c>
      <c r="AI496">
        <v>0.11262429115335899</v>
      </c>
      <c r="AJ496">
        <v>0.112859497829122</v>
      </c>
      <c r="AK496">
        <v>0.113149382262415</v>
      </c>
      <c r="AL496">
        <v>0.113477187739771</v>
      </c>
      <c r="AM496">
        <v>0.11387712690999501</v>
      </c>
      <c r="AN496">
        <v>0.114286282203795</v>
      </c>
      <c r="AO496">
        <v>0.114723187468609</v>
      </c>
      <c r="AP496">
        <v>0.115239717572862</v>
      </c>
      <c r="AQ496">
        <v>0.115674107152927</v>
      </c>
      <c r="AR496">
        <v>0.11622125836172301</v>
      </c>
      <c r="AS496">
        <v>0.116754079452279</v>
      </c>
    </row>
    <row r="497" spans="1:45" hidden="1" x14ac:dyDescent="0.3">
      <c r="A497" t="s">
        <v>711</v>
      </c>
      <c r="B497" t="s">
        <v>684</v>
      </c>
      <c r="C497" t="s">
        <v>681</v>
      </c>
      <c r="D497" t="s">
        <v>680</v>
      </c>
      <c r="E497" t="s">
        <v>22</v>
      </c>
      <c r="F497">
        <v>38.553247353625999</v>
      </c>
      <c r="G497">
        <v>2.5564109014272201</v>
      </c>
      <c r="H497">
        <v>187.58544523415401</v>
      </c>
      <c r="I497">
        <v>4614.4000681427497</v>
      </c>
      <c r="J497">
        <v>2.9802322387695302E-17</v>
      </c>
      <c r="K497">
        <v>1.7229467630386399E-17</v>
      </c>
      <c r="L497">
        <v>8.3819031715393093E-18</v>
      </c>
      <c r="M497">
        <v>-5.0291419029235797E-17</v>
      </c>
      <c r="N497">
        <v>1.49011611938477E-17</v>
      </c>
      <c r="O497">
        <v>1.0651469066547E-3</v>
      </c>
      <c r="P497">
        <v>1.9634260319405599E-3</v>
      </c>
      <c r="Q497">
        <v>2.7482346750826799E-3</v>
      </c>
      <c r="R497">
        <v>3.4392346112887399E-3</v>
      </c>
      <c r="S497">
        <v>4.0632956277067301E-3</v>
      </c>
      <c r="T497">
        <v>4.6034841031894497E-3</v>
      </c>
      <c r="U497">
        <v>5.0782647497870301E-3</v>
      </c>
      <c r="V497">
        <v>5.3202436835937698E-3</v>
      </c>
      <c r="W497">
        <v>5.7660156101955098E-3</v>
      </c>
      <c r="X497">
        <v>6.1707148989996203E-3</v>
      </c>
      <c r="Y497">
        <v>6.5267719778273397E-3</v>
      </c>
      <c r="Z497">
        <v>6.8377528808663398E-3</v>
      </c>
      <c r="AA497">
        <v>6.86306223402397E-3</v>
      </c>
      <c r="AB497">
        <v>7.1393570999719403E-3</v>
      </c>
      <c r="AC497">
        <v>7.3821262249791301E-3</v>
      </c>
      <c r="AD497">
        <v>7.6108345616276397E-3</v>
      </c>
      <c r="AE497">
        <v>7.8203495593378806E-3</v>
      </c>
      <c r="AF497">
        <v>7.9968733105792496E-3</v>
      </c>
      <c r="AG497">
        <v>8.0369356472435993E-3</v>
      </c>
      <c r="AH497">
        <v>8.1837714543428197E-3</v>
      </c>
      <c r="AI497">
        <v>8.3078838909193299E-3</v>
      </c>
      <c r="AJ497">
        <v>8.4122274469253105E-3</v>
      </c>
      <c r="AK497">
        <v>8.4464741583565907E-3</v>
      </c>
      <c r="AL497">
        <v>8.5296174779876908E-3</v>
      </c>
      <c r="AM497">
        <v>8.6061400157313207E-3</v>
      </c>
      <c r="AN497">
        <v>8.6454780274499501E-3</v>
      </c>
      <c r="AO497">
        <v>8.7176047451442799E-3</v>
      </c>
      <c r="AP497">
        <v>8.7912650504970696E-3</v>
      </c>
      <c r="AQ497">
        <v>8.8541197334448003E-3</v>
      </c>
      <c r="AR497">
        <v>8.9181015795609195E-3</v>
      </c>
      <c r="AS497">
        <v>8.9719934835185092E-3</v>
      </c>
    </row>
    <row r="498" spans="1:45" hidden="1" x14ac:dyDescent="0.3">
      <c r="A498" t="s">
        <v>711</v>
      </c>
      <c r="B498" t="s">
        <v>682</v>
      </c>
      <c r="C498" t="s">
        <v>681</v>
      </c>
      <c r="D498" t="s">
        <v>680</v>
      </c>
      <c r="E498" t="s">
        <v>22</v>
      </c>
      <c r="F498">
        <v>38.553247353625999</v>
      </c>
      <c r="G498">
        <v>2.5564109014272201</v>
      </c>
      <c r="H498">
        <v>187.58544523415401</v>
      </c>
      <c r="I498">
        <v>4614.4000681427497</v>
      </c>
      <c r="J498">
        <v>2.9802322387695302E-17</v>
      </c>
      <c r="K498">
        <v>1.7229467630386399E-17</v>
      </c>
      <c r="L498">
        <v>8.3819031715393093E-18</v>
      </c>
      <c r="M498">
        <v>-5.0291419029235797E-17</v>
      </c>
      <c r="N498">
        <v>1.49011611938477E-17</v>
      </c>
      <c r="O498">
        <v>9.8439668860616689E-4</v>
      </c>
      <c r="P498">
        <v>1.69190116730737E-3</v>
      </c>
      <c r="Q498">
        <v>2.2106724412041499E-3</v>
      </c>
      <c r="R498">
        <v>2.5829342162438399E-3</v>
      </c>
      <c r="S498">
        <v>2.8457033106122102E-3</v>
      </c>
      <c r="T498">
        <v>2.99980227344582E-3</v>
      </c>
      <c r="U498">
        <v>3.0712790317734399E-3</v>
      </c>
      <c r="V498">
        <v>2.9751968000201398E-3</v>
      </c>
      <c r="W498">
        <v>2.9655467459201801E-3</v>
      </c>
      <c r="X498">
        <v>2.8899647466900701E-3</v>
      </c>
      <c r="Y498">
        <v>2.7677059626417802E-3</v>
      </c>
      <c r="Z498">
        <v>2.6076578513949001E-3</v>
      </c>
      <c r="AA498">
        <v>2.4616551325194898E-3</v>
      </c>
      <c r="AB498">
        <v>2.5273866570781301E-3</v>
      </c>
      <c r="AC498">
        <v>2.58066425212552E-3</v>
      </c>
      <c r="AD498">
        <v>2.62864250673841E-3</v>
      </c>
      <c r="AE498">
        <v>2.6697253050228498E-3</v>
      </c>
      <c r="AF498">
        <v>2.6994080822953701E-3</v>
      </c>
      <c r="AG498">
        <v>2.6838795121207001E-3</v>
      </c>
      <c r="AH498">
        <v>2.7036748508165401E-3</v>
      </c>
      <c r="AI498">
        <v>2.73012535520665E-3</v>
      </c>
      <c r="AJ498">
        <v>2.7644145907862998E-3</v>
      </c>
      <c r="AK498">
        <v>2.7756686979017601E-3</v>
      </c>
      <c r="AL498">
        <v>2.80299114101978E-3</v>
      </c>
      <c r="AM498">
        <v>2.8281378719180201E-3</v>
      </c>
      <c r="AN498">
        <v>2.8410650751175799E-3</v>
      </c>
      <c r="AO498">
        <v>2.86476725768909E-3</v>
      </c>
      <c r="AP498">
        <v>2.8889734057234301E-3</v>
      </c>
      <c r="AQ498">
        <v>2.9096286250142002E-3</v>
      </c>
      <c r="AR498">
        <v>2.9306542511119802E-3</v>
      </c>
      <c r="AS498">
        <v>2.9483641343225398E-3</v>
      </c>
    </row>
    <row r="499" spans="1:45" hidden="1" x14ac:dyDescent="0.3">
      <c r="A499" t="s">
        <v>710</v>
      </c>
      <c r="B499" t="s">
        <v>686</v>
      </c>
      <c r="C499" t="s">
        <v>681</v>
      </c>
      <c r="D499" t="s">
        <v>680</v>
      </c>
      <c r="E499" t="s">
        <v>22</v>
      </c>
      <c r="F499">
        <v>999</v>
      </c>
      <c r="G499">
        <v>0</v>
      </c>
      <c r="H499">
        <v>-10.3124556996476</v>
      </c>
      <c r="I499">
        <v>-144.71213661715601</v>
      </c>
      <c r="J499">
        <v>0.1141716042524</v>
      </c>
      <c r="K499">
        <v>0.1123541622432</v>
      </c>
      <c r="L499">
        <v>0.11092353649809999</v>
      </c>
      <c r="M499">
        <v>0.1107798461882</v>
      </c>
      <c r="N499">
        <v>0.11097512410469999</v>
      </c>
      <c r="O499">
        <v>0.1107830268561</v>
      </c>
      <c r="P499">
        <v>0.1104975271623</v>
      </c>
      <c r="Q499">
        <v>0.11036766747020001</v>
      </c>
      <c r="R499">
        <v>0.1104035249279</v>
      </c>
      <c r="S499">
        <v>0.110597295055</v>
      </c>
      <c r="T499">
        <v>0.1110324105873</v>
      </c>
      <c r="U499">
        <v>0.1117440376137</v>
      </c>
      <c r="V499">
        <v>0.11268692688119999</v>
      </c>
      <c r="W499">
        <v>0.11382120650579999</v>
      </c>
      <c r="X499">
        <v>0.1151376803855</v>
      </c>
      <c r="Y499">
        <v>0.1166722550088</v>
      </c>
      <c r="Z499">
        <v>0.1182042969322</v>
      </c>
      <c r="AA499">
        <v>0.1196094771237</v>
      </c>
      <c r="AB499">
        <v>0.1209693132617</v>
      </c>
      <c r="AC499">
        <v>0.12235099873620001</v>
      </c>
      <c r="AD499">
        <v>0.1237488502231</v>
      </c>
      <c r="AE499">
        <v>0.12508811431889999</v>
      </c>
      <c r="AF499">
        <v>0.12638855441890001</v>
      </c>
      <c r="AG499">
        <v>0.12768835790300001</v>
      </c>
      <c r="AH499">
        <v>0.1289688798093</v>
      </c>
      <c r="AI499">
        <v>0.13024377865190001</v>
      </c>
      <c r="AJ499">
        <v>0.13155626124719999</v>
      </c>
      <c r="AK499">
        <v>0.1328732741509</v>
      </c>
      <c r="AL499">
        <v>0.13422141264820001</v>
      </c>
      <c r="AM499">
        <v>0.1356342023546</v>
      </c>
      <c r="AN499">
        <v>0.13711610135659999</v>
      </c>
      <c r="AO499">
        <v>0.1386664322118</v>
      </c>
      <c r="AP499">
        <v>0.1402578120289</v>
      </c>
      <c r="AQ499">
        <v>0.1418388232691</v>
      </c>
      <c r="AR499">
        <v>0.14339112650159999</v>
      </c>
      <c r="AS499">
        <v>0.14496366097300001</v>
      </c>
    </row>
    <row r="500" spans="1:45" hidden="1" x14ac:dyDescent="0.3">
      <c r="A500" t="s">
        <v>710</v>
      </c>
      <c r="B500" t="s">
        <v>685</v>
      </c>
      <c r="C500" t="s">
        <v>681</v>
      </c>
      <c r="D500" t="s">
        <v>680</v>
      </c>
      <c r="E500" t="s">
        <v>22</v>
      </c>
      <c r="F500">
        <v>999</v>
      </c>
      <c r="G500">
        <v>0</v>
      </c>
      <c r="H500">
        <v>-10.3124556996476</v>
      </c>
      <c r="I500">
        <v>-144.71213661715601</v>
      </c>
      <c r="J500">
        <v>0.1141716042524</v>
      </c>
      <c r="K500">
        <v>0.1123541622432</v>
      </c>
      <c r="L500">
        <v>0.11092353649809999</v>
      </c>
      <c r="M500">
        <v>0.1107798461882</v>
      </c>
      <c r="N500">
        <v>0.11097512410469999</v>
      </c>
      <c r="O500">
        <v>0.10696049056257401</v>
      </c>
      <c r="P500">
        <v>0.10308388614059801</v>
      </c>
      <c r="Q500">
        <v>9.9337365506479897E-2</v>
      </c>
      <c r="R500">
        <v>9.5769967562551905E-2</v>
      </c>
      <c r="S500">
        <v>9.2475403941866194E-2</v>
      </c>
      <c r="T500">
        <v>8.9317614949010707E-2</v>
      </c>
      <c r="U500">
        <v>8.6412994638888005E-2</v>
      </c>
      <c r="V500">
        <v>8.3729233656161001E-2</v>
      </c>
      <c r="W500">
        <v>8.1146360906851303E-2</v>
      </c>
      <c r="X500">
        <v>7.8680526776663401E-2</v>
      </c>
      <c r="Y500">
        <v>7.6298888011082297E-2</v>
      </c>
      <c r="Z500">
        <v>7.3837415549179705E-2</v>
      </c>
      <c r="AA500">
        <v>7.2489773641804797E-2</v>
      </c>
      <c r="AB500">
        <v>7.27952752914163E-2</v>
      </c>
      <c r="AC500">
        <v>7.3044605125770407E-2</v>
      </c>
      <c r="AD500">
        <v>7.3424582789482704E-2</v>
      </c>
      <c r="AE500">
        <v>7.3836947934912606E-2</v>
      </c>
      <c r="AF500">
        <v>7.4127345950686596E-2</v>
      </c>
      <c r="AG500">
        <v>7.4452524322990807E-2</v>
      </c>
      <c r="AH500">
        <v>7.48028543145242E-2</v>
      </c>
      <c r="AI500">
        <v>7.5236263219039604E-2</v>
      </c>
      <c r="AJ500">
        <v>7.5778560587749205E-2</v>
      </c>
      <c r="AK500">
        <v>7.6305043497695596E-2</v>
      </c>
      <c r="AL500">
        <v>7.6868259763046898E-2</v>
      </c>
      <c r="AM500">
        <v>7.7476269544381096E-2</v>
      </c>
      <c r="AN500">
        <v>7.8124469814512099E-2</v>
      </c>
      <c r="AO500">
        <v>7.8832186734140594E-2</v>
      </c>
      <c r="AP500">
        <v>7.96270467619766E-2</v>
      </c>
      <c r="AQ500">
        <v>8.0374288024894297E-2</v>
      </c>
      <c r="AR500">
        <v>8.1140245566183697E-2</v>
      </c>
      <c r="AS500">
        <v>8.1875900666853796E-2</v>
      </c>
    </row>
    <row r="501" spans="1:45" hidden="1" x14ac:dyDescent="0.3">
      <c r="A501" t="s">
        <v>710</v>
      </c>
      <c r="B501" t="s">
        <v>684</v>
      </c>
      <c r="C501" t="s">
        <v>681</v>
      </c>
      <c r="D501" t="s">
        <v>680</v>
      </c>
      <c r="E501" t="s">
        <v>22</v>
      </c>
      <c r="F501">
        <v>999</v>
      </c>
      <c r="G501">
        <v>0</v>
      </c>
      <c r="H501">
        <v>-84.818421774116302</v>
      </c>
      <c r="I501">
        <v>-1190.5580278525199</v>
      </c>
      <c r="J501">
        <v>-3.7252902984619097E-18</v>
      </c>
      <c r="K501">
        <v>-8.7165972217917397E-18</v>
      </c>
      <c r="L501">
        <v>-4.3073669075965897E-18</v>
      </c>
      <c r="M501">
        <v>5.9953890740871396E-18</v>
      </c>
      <c r="N501">
        <v>3.5506673157215097E-18</v>
      </c>
      <c r="O501">
        <v>1.53321893157179E-3</v>
      </c>
      <c r="P501">
        <v>2.8226490582744998E-3</v>
      </c>
      <c r="Q501">
        <v>3.9424053255422298E-3</v>
      </c>
      <c r="R501">
        <v>4.9313493241881197E-3</v>
      </c>
      <c r="S501">
        <v>5.8329230042434297E-3</v>
      </c>
      <c r="T501">
        <v>6.6855384391767596E-3</v>
      </c>
      <c r="U501">
        <v>7.4949509531456304E-3</v>
      </c>
      <c r="V501">
        <v>7.9672337966615603E-3</v>
      </c>
      <c r="W501">
        <v>8.7878068728956798E-3</v>
      </c>
      <c r="X501">
        <v>9.5584207629414997E-3</v>
      </c>
      <c r="Y501">
        <v>1.03197166362056E-2</v>
      </c>
      <c r="Z501">
        <v>1.10438806262892E-2</v>
      </c>
      <c r="AA501">
        <v>1.1737427753454099E-2</v>
      </c>
      <c r="AB501">
        <v>1.23942305517852E-2</v>
      </c>
      <c r="AC501">
        <v>1.29964664569909E-2</v>
      </c>
      <c r="AD501">
        <v>1.357724833587E-2</v>
      </c>
      <c r="AE501">
        <v>1.4115125787055699E-2</v>
      </c>
      <c r="AF501">
        <v>1.46193520494556E-2</v>
      </c>
      <c r="AG501">
        <v>1.50792713728645E-2</v>
      </c>
      <c r="AH501">
        <v>1.54883930654502E-2</v>
      </c>
      <c r="AI501">
        <v>1.5835394828253101E-2</v>
      </c>
      <c r="AJ501">
        <v>1.61756390124854E-2</v>
      </c>
      <c r="AK501">
        <v>1.6473148078246201E-2</v>
      </c>
      <c r="AL501">
        <v>1.6742419958373202E-2</v>
      </c>
      <c r="AM501">
        <v>1.6993587135835299E-2</v>
      </c>
      <c r="AN501">
        <v>1.72422141300578E-2</v>
      </c>
      <c r="AO501">
        <v>1.7497447567802402E-2</v>
      </c>
      <c r="AP501">
        <v>1.7755223568439699E-2</v>
      </c>
      <c r="AQ501">
        <v>1.8011832938947699E-2</v>
      </c>
      <c r="AR501">
        <v>1.82498290219863E-2</v>
      </c>
      <c r="AS501">
        <v>1.8469640341896802E-2</v>
      </c>
    </row>
    <row r="502" spans="1:45" hidden="1" x14ac:dyDescent="0.3">
      <c r="A502" t="s">
        <v>710</v>
      </c>
      <c r="B502" t="s">
        <v>682</v>
      </c>
      <c r="C502" t="s">
        <v>681</v>
      </c>
      <c r="D502" t="s">
        <v>680</v>
      </c>
      <c r="E502" t="s">
        <v>22</v>
      </c>
      <c r="F502">
        <v>999</v>
      </c>
      <c r="G502">
        <v>0</v>
      </c>
      <c r="H502">
        <v>-84.818421774116302</v>
      </c>
      <c r="I502">
        <v>-1190.5580278525199</v>
      </c>
      <c r="J502">
        <v>-3.7252902984619097E-18</v>
      </c>
      <c r="K502">
        <v>-8.7165972217917397E-18</v>
      </c>
      <c r="L502">
        <v>-4.3073669075965897E-18</v>
      </c>
      <c r="M502">
        <v>5.9953890740871396E-18</v>
      </c>
      <c r="N502">
        <v>3.5506673157215097E-18</v>
      </c>
      <c r="O502">
        <v>1.47318904076391E-3</v>
      </c>
      <c r="P502">
        <v>2.6153468569008499E-3</v>
      </c>
      <c r="Q502">
        <v>3.5227380588737701E-3</v>
      </c>
      <c r="R502">
        <v>4.2490662019442097E-3</v>
      </c>
      <c r="S502">
        <v>4.8498238554483099E-3</v>
      </c>
      <c r="T502">
        <v>5.3547792576971601E-3</v>
      </c>
      <c r="U502">
        <v>5.77913875661291E-3</v>
      </c>
      <c r="V502">
        <v>5.9099622795662004E-3</v>
      </c>
      <c r="W502">
        <v>6.2635251979538701E-3</v>
      </c>
      <c r="X502">
        <v>6.5382039245665902E-3</v>
      </c>
      <c r="Y502">
        <v>6.7650993859278401E-3</v>
      </c>
      <c r="Z502">
        <v>6.9268855006583401E-3</v>
      </c>
      <c r="AA502">
        <v>7.1455435910643501E-3</v>
      </c>
      <c r="AB502">
        <v>7.4848491355437299E-3</v>
      </c>
      <c r="AC502">
        <v>7.7800657310651304E-3</v>
      </c>
      <c r="AD502">
        <v>8.0719873246924596E-3</v>
      </c>
      <c r="AE502">
        <v>8.3435172359794408E-3</v>
      </c>
      <c r="AF502">
        <v>8.5820155188019599E-3</v>
      </c>
      <c r="AG502">
        <v>8.7966835654039802E-3</v>
      </c>
      <c r="AH502">
        <v>8.9846812172053592E-3</v>
      </c>
      <c r="AI502">
        <v>9.1474306550955401E-3</v>
      </c>
      <c r="AJ502">
        <v>9.3174329319827293E-3</v>
      </c>
      <c r="AK502">
        <v>9.4600233845900192E-3</v>
      </c>
      <c r="AL502">
        <v>9.5883410927542004E-3</v>
      </c>
      <c r="AM502">
        <v>9.70698920040685E-3</v>
      </c>
      <c r="AN502">
        <v>9.8240748096811194E-3</v>
      </c>
      <c r="AO502">
        <v>9.9473393238313397E-3</v>
      </c>
      <c r="AP502">
        <v>1.0079980550831501E-2</v>
      </c>
      <c r="AQ502">
        <v>1.0206572609141601E-2</v>
      </c>
      <c r="AR502">
        <v>1.0326968233758199E-2</v>
      </c>
      <c r="AS502">
        <v>1.04317070073673E-2</v>
      </c>
    </row>
    <row r="503" spans="1:45" hidden="1" x14ac:dyDescent="0.3">
      <c r="A503" t="s">
        <v>709</v>
      </c>
      <c r="B503" t="s">
        <v>686</v>
      </c>
      <c r="C503" t="s">
        <v>681</v>
      </c>
      <c r="D503" t="s">
        <v>680</v>
      </c>
      <c r="E503" t="s">
        <v>693</v>
      </c>
      <c r="F503">
        <v>94.4369769618649</v>
      </c>
      <c r="G503">
        <v>1.05753615391901</v>
      </c>
      <c r="H503">
        <v>2.2586088934053898</v>
      </c>
      <c r="I503">
        <v>50.861576313186497</v>
      </c>
      <c r="J503">
        <v>1.6685612507851</v>
      </c>
      <c r="K503">
        <v>1.5420590692420999</v>
      </c>
      <c r="L503">
        <v>1.4293656008475499</v>
      </c>
      <c r="M503">
        <v>1.7380519740051199</v>
      </c>
      <c r="N503">
        <v>1.6085605328783701</v>
      </c>
      <c r="O503">
        <v>1.57616762696276</v>
      </c>
      <c r="P503">
        <v>1.5490816257387301</v>
      </c>
      <c r="Q503">
        <v>1.5322449015589199</v>
      </c>
      <c r="R503">
        <v>1.5228446012880601</v>
      </c>
      <c r="S503">
        <v>1.5166027220435001</v>
      </c>
      <c r="T503">
        <v>1.5069334919611901</v>
      </c>
      <c r="U503">
        <v>1.49872245315396</v>
      </c>
      <c r="V503">
        <v>1.49440251998185</v>
      </c>
      <c r="W503">
        <v>1.49256385194525</v>
      </c>
      <c r="X503">
        <v>1.49520741565792</v>
      </c>
      <c r="Y503">
        <v>1.4966308657318199</v>
      </c>
      <c r="Z503">
        <v>1.4979583303080399</v>
      </c>
      <c r="AA503">
        <v>1.4955235380290399</v>
      </c>
      <c r="AB503">
        <v>1.4966399517087201</v>
      </c>
      <c r="AC503">
        <v>1.4990769741957299</v>
      </c>
      <c r="AD503">
        <v>1.50422879607867</v>
      </c>
      <c r="AE503">
        <v>1.5102516767012699</v>
      </c>
      <c r="AF503">
        <v>1.5159006245306199</v>
      </c>
      <c r="AG503">
        <v>1.52213517195359</v>
      </c>
      <c r="AH503">
        <v>1.52916316642976</v>
      </c>
      <c r="AI503">
        <v>1.53555293298054</v>
      </c>
      <c r="AJ503">
        <v>1.5409067907689999</v>
      </c>
      <c r="AK503">
        <v>1.5472020670746101</v>
      </c>
      <c r="AL503">
        <v>1.55376370303588</v>
      </c>
      <c r="AM503">
        <v>1.5606241071911</v>
      </c>
      <c r="AN503">
        <v>1.56724106660956</v>
      </c>
      <c r="AO503">
        <v>1.57440951652946</v>
      </c>
      <c r="AP503">
        <v>1.5813592263223499</v>
      </c>
      <c r="AQ503">
        <v>1.5874042547974201</v>
      </c>
      <c r="AR503">
        <v>1.5941224522706801</v>
      </c>
      <c r="AS503">
        <v>1.6014725187981</v>
      </c>
    </row>
    <row r="504" spans="1:45" hidden="1" x14ac:dyDescent="0.3">
      <c r="A504" t="s">
        <v>709</v>
      </c>
      <c r="B504" t="s">
        <v>685</v>
      </c>
      <c r="C504" t="s">
        <v>681</v>
      </c>
      <c r="D504" t="s">
        <v>680</v>
      </c>
      <c r="E504" t="s">
        <v>693</v>
      </c>
      <c r="F504">
        <v>94.4369769618649</v>
      </c>
      <c r="G504">
        <v>1.05753615391901</v>
      </c>
      <c r="H504">
        <v>2.2586088934053898</v>
      </c>
      <c r="I504">
        <v>50.861576313186497</v>
      </c>
      <c r="J504">
        <v>1.6685612507851</v>
      </c>
      <c r="K504">
        <v>1.5420590692420999</v>
      </c>
      <c r="L504">
        <v>1.4293656008475499</v>
      </c>
      <c r="M504">
        <v>1.7380519740051199</v>
      </c>
      <c r="N504">
        <v>1.6085605328783701</v>
      </c>
      <c r="O504">
        <v>1.57616762696276</v>
      </c>
      <c r="P504">
        <v>1.5490816257387301</v>
      </c>
      <c r="Q504">
        <v>1.5322449015589199</v>
      </c>
      <c r="R504">
        <v>1.5228446012880601</v>
      </c>
      <c r="S504">
        <v>1.5166027220435001</v>
      </c>
      <c r="T504">
        <v>1.4839191040534401</v>
      </c>
      <c r="U504">
        <v>1.45505443976833</v>
      </c>
      <c r="V504">
        <v>1.4308548206147</v>
      </c>
      <c r="W504">
        <v>1.40971976441485</v>
      </c>
      <c r="X504">
        <v>1.39331841177625</v>
      </c>
      <c r="Y504">
        <v>1.3764360049956801</v>
      </c>
      <c r="Z504">
        <v>1.3597755037599799</v>
      </c>
      <c r="AA504">
        <v>1.34024458951908</v>
      </c>
      <c r="AB504">
        <v>1.32403000764052</v>
      </c>
      <c r="AC504">
        <v>1.3096782121448201</v>
      </c>
      <c r="AD504">
        <v>1.29941453452543</v>
      </c>
      <c r="AE504">
        <v>1.2901658351160501</v>
      </c>
      <c r="AF504">
        <v>1.28065258046079</v>
      </c>
      <c r="AG504">
        <v>1.2716153626676301</v>
      </c>
      <c r="AH504">
        <v>1.2648935548910001</v>
      </c>
      <c r="AI504">
        <v>1.25856847096725</v>
      </c>
      <c r="AJ504">
        <v>1.2550018777880501</v>
      </c>
      <c r="AK504">
        <v>1.2534746396626699</v>
      </c>
      <c r="AL504">
        <v>1.2532954943824199</v>
      </c>
      <c r="AM504">
        <v>1.2559590341395299</v>
      </c>
      <c r="AN504">
        <v>1.2590466847750901</v>
      </c>
      <c r="AO504">
        <v>1.26286344818814</v>
      </c>
      <c r="AP504">
        <v>1.2665593493115199</v>
      </c>
      <c r="AQ504">
        <v>1.2695523203627199</v>
      </c>
      <c r="AR504">
        <v>1.2736318315430299</v>
      </c>
      <c r="AS504">
        <v>1.27842119213685</v>
      </c>
    </row>
    <row r="505" spans="1:45" hidden="1" x14ac:dyDescent="0.3">
      <c r="A505" t="s">
        <v>709</v>
      </c>
      <c r="B505" t="s">
        <v>684</v>
      </c>
      <c r="C505" t="s">
        <v>681</v>
      </c>
      <c r="D505" t="s">
        <v>680</v>
      </c>
      <c r="E505" t="s">
        <v>693</v>
      </c>
      <c r="F505">
        <v>94.4369769618649</v>
      </c>
      <c r="G505">
        <v>1.05753615391901</v>
      </c>
      <c r="H505">
        <v>50.366564470119002</v>
      </c>
      <c r="I505">
        <v>1160.26131331442</v>
      </c>
      <c r="J505">
        <v>5.1425820190770598E-2</v>
      </c>
      <c r="K505">
        <v>3.3628834387484902E-2</v>
      </c>
      <c r="L505">
        <v>1.8909863116954199E-2</v>
      </c>
      <c r="M505">
        <v>1.4060448255901701E-2</v>
      </c>
      <c r="N505">
        <v>1.35823080075788E-2</v>
      </c>
      <c r="O505">
        <v>-2.5844201445579501E-17</v>
      </c>
      <c r="P505">
        <v>-1.2572854757309E-16</v>
      </c>
      <c r="Q505">
        <v>2.8870999813079799E-16</v>
      </c>
      <c r="R505">
        <v>-5.8207660913467405E-17</v>
      </c>
      <c r="S505">
        <v>3.4668482840061199E-16</v>
      </c>
      <c r="T505">
        <v>8.2673179419112397E-3</v>
      </c>
      <c r="U505">
        <v>1.6464168703255799E-2</v>
      </c>
      <c r="V505">
        <v>2.4763199057927399E-2</v>
      </c>
      <c r="W505">
        <v>3.32331218914136E-2</v>
      </c>
      <c r="X505">
        <v>4.3620396447454697E-2</v>
      </c>
      <c r="Y505">
        <v>4.0481415990700702E-2</v>
      </c>
      <c r="Z505">
        <v>4.0077458877639902E-2</v>
      </c>
      <c r="AA505">
        <v>4.0259647163601302E-2</v>
      </c>
      <c r="AB505">
        <v>4.0053505801888503E-2</v>
      </c>
      <c r="AC505">
        <v>4.02163898731547E-2</v>
      </c>
      <c r="AD505">
        <v>4.0774029174094902E-2</v>
      </c>
      <c r="AE505">
        <v>4.1559195993027299E-2</v>
      </c>
      <c r="AF505">
        <v>4.2418978851541299E-2</v>
      </c>
      <c r="AG505">
        <v>4.3899635319062699E-2</v>
      </c>
      <c r="AH505">
        <v>4.5171573385536401E-2</v>
      </c>
      <c r="AI505">
        <v>4.6321371683762498E-2</v>
      </c>
      <c r="AJ505">
        <v>4.7443930695528297E-2</v>
      </c>
      <c r="AK505">
        <v>4.86509501382687E-2</v>
      </c>
      <c r="AL505">
        <v>4.9927746224266198E-2</v>
      </c>
      <c r="AM505">
        <v>5.1231707499911502E-2</v>
      </c>
      <c r="AN505">
        <v>5.1999863804369301E-2</v>
      </c>
      <c r="AO505">
        <v>5.2520629269952802E-2</v>
      </c>
      <c r="AP505">
        <v>5.3135687556295601E-2</v>
      </c>
      <c r="AQ505">
        <v>5.3859186742307302E-2</v>
      </c>
      <c r="AR505">
        <v>5.4634736553435703E-2</v>
      </c>
      <c r="AS505">
        <v>5.5554145437060297E-2</v>
      </c>
    </row>
    <row r="506" spans="1:45" hidden="1" x14ac:dyDescent="0.3">
      <c r="A506" t="s">
        <v>709</v>
      </c>
      <c r="B506" t="s">
        <v>682</v>
      </c>
      <c r="C506" t="s">
        <v>681</v>
      </c>
      <c r="D506" t="s">
        <v>680</v>
      </c>
      <c r="E506" t="s">
        <v>693</v>
      </c>
      <c r="F506">
        <v>94.4369769618649</v>
      </c>
      <c r="G506">
        <v>1.05753615391901</v>
      </c>
      <c r="H506">
        <v>50.366564470119002</v>
      </c>
      <c r="I506">
        <v>1160.26131331442</v>
      </c>
      <c r="J506">
        <v>5.1409447035182701E-2</v>
      </c>
      <c r="K506">
        <v>3.3598385050963103E-2</v>
      </c>
      <c r="L506">
        <v>1.8845583018566901E-2</v>
      </c>
      <c r="M506">
        <v>1.3920749642711099E-2</v>
      </c>
      <c r="N506">
        <v>1.3406297445361801E-2</v>
      </c>
      <c r="O506">
        <v>-2.5844201445579501E-17</v>
      </c>
      <c r="P506">
        <v>-1.2572854757309E-16</v>
      </c>
      <c r="Q506">
        <v>2.8870999813079799E-16</v>
      </c>
      <c r="R506">
        <v>-5.8207660913467405E-17</v>
      </c>
      <c r="S506">
        <v>3.4668482840061199E-16</v>
      </c>
      <c r="T506">
        <v>7.2950397780899802E-3</v>
      </c>
      <c r="U506">
        <v>1.42451278632109E-2</v>
      </c>
      <c r="V506">
        <v>2.1027793171618701E-2</v>
      </c>
      <c r="W506">
        <v>2.77221381797303E-2</v>
      </c>
      <c r="X506">
        <v>3.5917779123449199E-2</v>
      </c>
      <c r="Y506">
        <v>3.27761263015637E-2</v>
      </c>
      <c r="Z506">
        <v>3.1979532810852702E-2</v>
      </c>
      <c r="AA506">
        <v>3.1689076498123803E-2</v>
      </c>
      <c r="AB506">
        <v>3.1081154021064199E-2</v>
      </c>
      <c r="AC506">
        <v>3.0793602682074799E-2</v>
      </c>
      <c r="AD506">
        <v>3.0864107881007199E-2</v>
      </c>
      <c r="AE506">
        <v>3.1126018425620499E-2</v>
      </c>
      <c r="AF506">
        <v>3.1465602326126101E-2</v>
      </c>
      <c r="AG506">
        <v>3.23733071702825E-2</v>
      </c>
      <c r="AH506">
        <v>3.3163508180096501E-2</v>
      </c>
      <c r="AI506">
        <v>3.3900441731125601E-2</v>
      </c>
      <c r="AJ506">
        <v>3.4766687623211501E-2</v>
      </c>
      <c r="AK506">
        <v>3.5757644107101798E-2</v>
      </c>
      <c r="AL506">
        <v>3.6822621090034903E-2</v>
      </c>
      <c r="AM506">
        <v>3.7966266973786397E-2</v>
      </c>
      <c r="AN506">
        <v>3.8703931775823E-2</v>
      </c>
      <c r="AO506">
        <v>3.9251159849708499E-2</v>
      </c>
      <c r="AP506">
        <v>3.9887039185615897E-2</v>
      </c>
      <c r="AQ506">
        <v>4.0608137884459002E-2</v>
      </c>
      <c r="AR506">
        <v>4.1422591226453302E-2</v>
      </c>
      <c r="AS506">
        <v>4.2373479434928099E-2</v>
      </c>
    </row>
    <row r="507" spans="1:45" hidden="1" x14ac:dyDescent="0.3">
      <c r="A507" t="s">
        <v>708</v>
      </c>
      <c r="B507" t="s">
        <v>686</v>
      </c>
      <c r="C507" t="s">
        <v>681</v>
      </c>
      <c r="D507" t="s">
        <v>680</v>
      </c>
      <c r="E507" t="s">
        <v>8</v>
      </c>
      <c r="F507">
        <v>1.3457743486559</v>
      </c>
      <c r="G507">
        <v>11.8535098871063</v>
      </c>
      <c r="H507">
        <v>21.125763315363201</v>
      </c>
      <c r="I507">
        <v>519.67104143020003</v>
      </c>
      <c r="J507">
        <v>0.15270801092460001</v>
      </c>
      <c r="K507">
        <v>0.15510862378170001</v>
      </c>
      <c r="L507">
        <v>0.15652499479005699</v>
      </c>
      <c r="M507">
        <v>0.16015547403706701</v>
      </c>
      <c r="N507">
        <v>0.163385616187498</v>
      </c>
      <c r="O507">
        <v>0.165530771495047</v>
      </c>
      <c r="P507">
        <v>0.166143181823113</v>
      </c>
      <c r="Q507">
        <v>0.16688982911118799</v>
      </c>
      <c r="R507">
        <v>0.167823492135909</v>
      </c>
      <c r="S507">
        <v>0.169211041881251</v>
      </c>
      <c r="T507">
        <v>0.16984907023541901</v>
      </c>
      <c r="U507">
        <v>0.17057510534215101</v>
      </c>
      <c r="V507">
        <v>0.17157860057194199</v>
      </c>
      <c r="W507">
        <v>0.172913169934896</v>
      </c>
      <c r="X507">
        <v>0.17485182108595901</v>
      </c>
      <c r="Y507">
        <v>0.176715062129461</v>
      </c>
      <c r="Z507">
        <v>0.178448928647537</v>
      </c>
      <c r="AA507">
        <v>0.17954374803627501</v>
      </c>
      <c r="AB507">
        <v>0.18127373239119299</v>
      </c>
      <c r="AC507">
        <v>0.18298459406423401</v>
      </c>
      <c r="AD507">
        <v>0.185139565513667</v>
      </c>
      <c r="AE507">
        <v>0.1874666828488</v>
      </c>
      <c r="AF507">
        <v>0.18945395934911299</v>
      </c>
      <c r="AG507">
        <v>0.19146547565467101</v>
      </c>
      <c r="AH507">
        <v>0.193623239196444</v>
      </c>
      <c r="AI507">
        <v>0.195853662684569</v>
      </c>
      <c r="AJ507">
        <v>0.197859265328966</v>
      </c>
      <c r="AK507">
        <v>0.199927052105247</v>
      </c>
      <c r="AL507">
        <v>0.20203563616182099</v>
      </c>
      <c r="AM507">
        <v>0.204220211383941</v>
      </c>
      <c r="AN507">
        <v>0.20636280146018901</v>
      </c>
      <c r="AO507">
        <v>0.20850626039286899</v>
      </c>
      <c r="AP507">
        <v>0.21076552485906799</v>
      </c>
      <c r="AQ507">
        <v>0.212839197099122</v>
      </c>
      <c r="AR507">
        <v>0.215081153866573</v>
      </c>
      <c r="AS507">
        <v>0.217300727140988</v>
      </c>
    </row>
    <row r="508" spans="1:45" hidden="1" x14ac:dyDescent="0.3">
      <c r="A508" t="s">
        <v>708</v>
      </c>
      <c r="B508" t="s">
        <v>685</v>
      </c>
      <c r="C508" t="s">
        <v>681</v>
      </c>
      <c r="D508" t="s">
        <v>680</v>
      </c>
      <c r="E508" t="s">
        <v>8</v>
      </c>
      <c r="F508">
        <v>1.3457743486559</v>
      </c>
      <c r="G508">
        <v>11.8535098871063</v>
      </c>
      <c r="H508">
        <v>21.125763315363201</v>
      </c>
      <c r="I508">
        <v>519.67104143020003</v>
      </c>
      <c r="J508">
        <v>0.15270801092460001</v>
      </c>
      <c r="K508">
        <v>0.15510862378170001</v>
      </c>
      <c r="L508">
        <v>0.15652499479005699</v>
      </c>
      <c r="M508">
        <v>0.16015547403706701</v>
      </c>
      <c r="N508">
        <v>0.163385616187498</v>
      </c>
      <c r="O508">
        <v>0.15737446607414601</v>
      </c>
      <c r="P508">
        <v>0.15061911086716301</v>
      </c>
      <c r="Q508">
        <v>0.14417367297353301</v>
      </c>
      <c r="R508">
        <v>0.138075700402153</v>
      </c>
      <c r="S508">
        <v>0.13249851242512201</v>
      </c>
      <c r="T508">
        <v>0.12647632387417801</v>
      </c>
      <c r="U508">
        <v>0.120700659814407</v>
      </c>
      <c r="V508">
        <v>0.1152822782012</v>
      </c>
      <c r="W508">
        <v>0.110213308402081</v>
      </c>
      <c r="X508">
        <v>0.105511748230231</v>
      </c>
      <c r="Y508">
        <v>0.10055900702167</v>
      </c>
      <c r="Z508">
        <v>9.56186013898737E-2</v>
      </c>
      <c r="AA508">
        <v>9.30612908021798E-2</v>
      </c>
      <c r="AB508">
        <v>9.3526662694413898E-2</v>
      </c>
      <c r="AC508">
        <v>9.3984979563501797E-2</v>
      </c>
      <c r="AD508">
        <v>9.4673840363578093E-2</v>
      </c>
      <c r="AE508">
        <v>9.5452432517614497E-2</v>
      </c>
      <c r="AF508">
        <v>9.6060125156409201E-2</v>
      </c>
      <c r="AG508">
        <v>9.6682687143854806E-2</v>
      </c>
      <c r="AH508">
        <v>9.7381167962870399E-2</v>
      </c>
      <c r="AI508">
        <v>9.8117506722220305E-2</v>
      </c>
      <c r="AJ508">
        <v>9.8929632664482903E-2</v>
      </c>
      <c r="AK508">
        <v>9.99635260526235E-2</v>
      </c>
      <c r="AL508">
        <v>0.101017818080911</v>
      </c>
      <c r="AM508">
        <v>0.102110105691971</v>
      </c>
      <c r="AN508">
        <v>0.10318140073009401</v>
      </c>
      <c r="AO508">
        <v>0.10425313019643399</v>
      </c>
      <c r="AP508">
        <v>0.105382762429534</v>
      </c>
      <c r="AQ508">
        <v>0.106419598549561</v>
      </c>
      <c r="AR508">
        <v>0.107540576933287</v>
      </c>
      <c r="AS508">
        <v>0.108650363570494</v>
      </c>
    </row>
    <row r="509" spans="1:45" hidden="1" x14ac:dyDescent="0.3">
      <c r="A509" t="s">
        <v>708</v>
      </c>
      <c r="B509" t="s">
        <v>684</v>
      </c>
      <c r="C509" t="s">
        <v>681</v>
      </c>
      <c r="D509" t="s">
        <v>680</v>
      </c>
      <c r="E509" t="s">
        <v>8</v>
      </c>
      <c r="F509">
        <v>1.3457743486559</v>
      </c>
      <c r="G509">
        <v>11.8535098871063</v>
      </c>
      <c r="H509">
        <v>999</v>
      </c>
      <c r="I509">
        <v>999</v>
      </c>
      <c r="J509">
        <v>5.0902670308199997E-2</v>
      </c>
      <c r="K509">
        <v>5.1702874593900001E-2</v>
      </c>
      <c r="L509">
        <v>-2.0489096641540501E-17</v>
      </c>
      <c r="M509">
        <v>-1.67638063430786E-17</v>
      </c>
      <c r="N509">
        <v>2.5145709514617899E-17</v>
      </c>
      <c r="O509">
        <v>6.6868960857391402E-16</v>
      </c>
      <c r="P509">
        <v>1.2572854757308999E-15</v>
      </c>
      <c r="Q509">
        <v>1.7490237951278701E-15</v>
      </c>
      <c r="R509">
        <v>2.2668391466140801E-15</v>
      </c>
      <c r="S509">
        <v>2.7045607566833501E-15</v>
      </c>
      <c r="T509">
        <v>3.1366944313049298E-15</v>
      </c>
      <c r="U509">
        <v>3.5688281059265096E-15</v>
      </c>
      <c r="V509">
        <v>3.8631260395050001E-15</v>
      </c>
      <c r="W509">
        <v>4.1536986827850299E-15</v>
      </c>
      <c r="X509">
        <v>4.6156346797943096E-15</v>
      </c>
      <c r="Y509">
        <v>4.7571957111358604E-15</v>
      </c>
      <c r="Z509">
        <v>5.0812959671020499E-15</v>
      </c>
      <c r="AA509">
        <v>5.3457915782928499E-15</v>
      </c>
      <c r="AB509">
        <v>5.6773424148559599E-15</v>
      </c>
      <c r="AC509">
        <v>5.9381127357482899E-15</v>
      </c>
      <c r="AD509">
        <v>6.0424208641052202E-15</v>
      </c>
      <c r="AE509">
        <v>6.31809234619141E-15</v>
      </c>
      <c r="AF509">
        <v>6.4820051193237299E-15</v>
      </c>
      <c r="AG509">
        <v>6.6235661506652799E-15</v>
      </c>
      <c r="AH509">
        <v>6.8470835685729997E-15</v>
      </c>
      <c r="AI509">
        <v>7.0109963417053197E-15</v>
      </c>
      <c r="AJ509">
        <v>7.2345137596130395E-15</v>
      </c>
      <c r="AK509">
        <v>7.3686242103576706E-15</v>
      </c>
      <c r="AL509">
        <v>7.5474381446838401E-15</v>
      </c>
      <c r="AM509">
        <v>7.6293945312500005E-15</v>
      </c>
      <c r="AN509">
        <v>7.7560544013977103E-15</v>
      </c>
      <c r="AO509">
        <v>7.8827142715454107E-15</v>
      </c>
      <c r="AP509">
        <v>7.9944729804992702E-15</v>
      </c>
      <c r="AQ509">
        <v>8.1285834312438998E-15</v>
      </c>
      <c r="AR509">
        <v>8.2403421401977498E-15</v>
      </c>
      <c r="AS509">
        <v>8.4191560745239304E-15</v>
      </c>
    </row>
    <row r="510" spans="1:45" hidden="1" x14ac:dyDescent="0.3">
      <c r="A510" t="s">
        <v>708</v>
      </c>
      <c r="B510" t="s">
        <v>682</v>
      </c>
      <c r="C510" t="s">
        <v>681</v>
      </c>
      <c r="D510" t="s">
        <v>680</v>
      </c>
      <c r="E510" t="s">
        <v>8</v>
      </c>
      <c r="F510">
        <v>1.3457743486559</v>
      </c>
      <c r="G510">
        <v>11.8535098871063</v>
      </c>
      <c r="H510">
        <v>999</v>
      </c>
      <c r="I510">
        <v>999</v>
      </c>
      <c r="J510">
        <v>5.0902670308199997E-2</v>
      </c>
      <c r="K510">
        <v>5.1702874593900001E-2</v>
      </c>
      <c r="L510">
        <v>-2.0489096641540501E-17</v>
      </c>
      <c r="M510">
        <v>-1.67638063430786E-17</v>
      </c>
      <c r="N510">
        <v>2.5145709514617899E-17</v>
      </c>
      <c r="O510">
        <v>6.0908496379852296E-16</v>
      </c>
      <c r="P510">
        <v>1.08778476715088E-15</v>
      </c>
      <c r="Q510">
        <v>1.5124678611755399E-15</v>
      </c>
      <c r="R510">
        <v>1.8235296010971098E-15</v>
      </c>
      <c r="S510">
        <v>2.0805746316909799E-15</v>
      </c>
      <c r="T510">
        <v>2.3134052753448501E-15</v>
      </c>
      <c r="U510">
        <v>2.4624168872833299E-15</v>
      </c>
      <c r="V510">
        <v>2.6039779186248799E-15</v>
      </c>
      <c r="W510">
        <v>2.6766210794448899E-15</v>
      </c>
      <c r="X510">
        <v>2.8088688850402801E-15</v>
      </c>
      <c r="Y510">
        <v>2.6896595954895001E-15</v>
      </c>
      <c r="Z510">
        <v>2.7492642402648901E-15</v>
      </c>
      <c r="AA510">
        <v>2.7976930141449002E-15</v>
      </c>
      <c r="AB510">
        <v>2.9541552066803001E-15</v>
      </c>
      <c r="AC510">
        <v>3.05101275444031E-15</v>
      </c>
      <c r="AD510">
        <v>3.0957162380218501E-15</v>
      </c>
      <c r="AE510">
        <v>3.2037496566772501E-15</v>
      </c>
      <c r="AF510">
        <v>3.3006072044372601E-15</v>
      </c>
      <c r="AG510">
        <v>3.3527612686157201E-15</v>
      </c>
      <c r="AH510">
        <v>3.4533441066741899E-15</v>
      </c>
      <c r="AI510">
        <v>3.5315752029418901E-15</v>
      </c>
      <c r="AJ510">
        <v>3.6172568798065197E-15</v>
      </c>
      <c r="AK510">
        <v>3.6843121051788298E-15</v>
      </c>
      <c r="AL510">
        <v>3.77371907234192E-15</v>
      </c>
      <c r="AM510">
        <v>3.8146972656250002E-15</v>
      </c>
      <c r="AN510">
        <v>3.8892030715942402E-15</v>
      </c>
      <c r="AO510">
        <v>3.9413571357727101E-15</v>
      </c>
      <c r="AP510">
        <v>3.9972364902496304E-15</v>
      </c>
      <c r="AQ510">
        <v>4.0642917156219499E-15</v>
      </c>
      <c r="AR510">
        <v>4.1201710700988796E-15</v>
      </c>
      <c r="AS510">
        <v>4.2095780372619597E-15</v>
      </c>
    </row>
    <row r="511" spans="1:45" hidden="1" x14ac:dyDescent="0.3">
      <c r="A511" t="s">
        <v>707</v>
      </c>
      <c r="B511" t="s">
        <v>686</v>
      </c>
      <c r="C511" t="s">
        <v>681</v>
      </c>
      <c r="D511" t="s">
        <v>680</v>
      </c>
      <c r="E511" t="s">
        <v>8</v>
      </c>
      <c r="F511">
        <v>999</v>
      </c>
      <c r="G511">
        <v>999</v>
      </c>
      <c r="H511">
        <v>999</v>
      </c>
      <c r="I511">
        <v>82756.673193208</v>
      </c>
      <c r="J511">
        <v>4.2634766501000003E-3</v>
      </c>
      <c r="K511">
        <v>4.3876371917000003E-3</v>
      </c>
      <c r="L511">
        <v>4.4683740431999998E-3</v>
      </c>
      <c r="M511">
        <v>4.6076080066000001E-3</v>
      </c>
      <c r="N511">
        <v>4.7646105177999998E-3</v>
      </c>
      <c r="O511">
        <v>4.9084169480000002E-3</v>
      </c>
      <c r="P511">
        <v>5.0395794472999998E-3</v>
      </c>
      <c r="Q511">
        <v>5.1711882333000002E-3</v>
      </c>
      <c r="R511">
        <v>5.3038650195000002E-3</v>
      </c>
      <c r="S511">
        <v>5.4387245689999997E-3</v>
      </c>
      <c r="T511">
        <v>5.5809959724999999E-3</v>
      </c>
      <c r="U511">
        <v>5.7362477310999999E-3</v>
      </c>
      <c r="V511">
        <v>5.9054600275000001E-3</v>
      </c>
      <c r="W511">
        <v>6.0738561296999997E-3</v>
      </c>
      <c r="X511">
        <v>6.2385439269000004E-3</v>
      </c>
      <c r="Y511">
        <v>6.4056403494999999E-3</v>
      </c>
      <c r="Z511">
        <v>6.5748208899000004E-3</v>
      </c>
      <c r="AA511">
        <v>6.7387124670000003E-3</v>
      </c>
      <c r="AB511">
        <v>6.8985340263999998E-3</v>
      </c>
      <c r="AC511">
        <v>7.0561757068999999E-3</v>
      </c>
      <c r="AD511">
        <v>7.2096291885999997E-3</v>
      </c>
      <c r="AE511">
        <v>7.3551356490999999E-3</v>
      </c>
      <c r="AF511">
        <v>7.5048692625E-3</v>
      </c>
      <c r="AG511">
        <v>7.6602695621000002E-3</v>
      </c>
      <c r="AH511">
        <v>7.8186326217999993E-3</v>
      </c>
      <c r="AI511">
        <v>7.9787239451999999E-3</v>
      </c>
      <c r="AJ511">
        <v>8.1418291180000001E-3</v>
      </c>
      <c r="AK511">
        <v>8.3045214429000001E-3</v>
      </c>
      <c r="AL511">
        <v>8.4664771722000008E-3</v>
      </c>
      <c r="AM511">
        <v>8.6280533681000002E-3</v>
      </c>
      <c r="AN511">
        <v>8.7888579583000007E-3</v>
      </c>
      <c r="AO511">
        <v>8.9490909067999995E-3</v>
      </c>
      <c r="AP511">
        <v>9.1076408908999998E-3</v>
      </c>
      <c r="AQ511">
        <v>9.2626006920999999E-3</v>
      </c>
      <c r="AR511">
        <v>9.4133511156000004E-3</v>
      </c>
      <c r="AS511">
        <v>9.5636422668999993E-3</v>
      </c>
    </row>
    <row r="512" spans="1:45" hidden="1" x14ac:dyDescent="0.3">
      <c r="A512" t="s">
        <v>707</v>
      </c>
      <c r="B512" t="s">
        <v>685</v>
      </c>
      <c r="C512" t="s">
        <v>681</v>
      </c>
      <c r="D512" t="s">
        <v>680</v>
      </c>
      <c r="E512" t="s">
        <v>8</v>
      </c>
      <c r="F512">
        <v>999</v>
      </c>
      <c r="G512">
        <v>999</v>
      </c>
      <c r="H512">
        <v>999</v>
      </c>
      <c r="I512">
        <v>82756.673193208</v>
      </c>
      <c r="J512">
        <v>4.2634766501000003E-3</v>
      </c>
      <c r="K512">
        <v>4.3876371917000003E-3</v>
      </c>
      <c r="L512">
        <v>4.4683740431999998E-3</v>
      </c>
      <c r="M512">
        <v>4.6076080066000001E-3</v>
      </c>
      <c r="N512">
        <v>4.7646105177999998E-3</v>
      </c>
      <c r="O512">
        <v>5.1257665215529999E-3</v>
      </c>
      <c r="P512">
        <v>5.4439634579957E-3</v>
      </c>
      <c r="Q512">
        <v>5.7508123972725396E-3</v>
      </c>
      <c r="R512">
        <v>6.0511053026175501E-3</v>
      </c>
      <c r="S512">
        <v>6.3591730147006097E-3</v>
      </c>
      <c r="T512">
        <v>6.6614296195527502E-3</v>
      </c>
      <c r="U512">
        <v>6.9758231293853001E-3</v>
      </c>
      <c r="V512">
        <v>7.30735833646375E-3</v>
      </c>
      <c r="W512">
        <v>7.6385914292811802E-3</v>
      </c>
      <c r="X512">
        <v>7.9819467906342007E-3</v>
      </c>
      <c r="Y512">
        <v>8.3268723983108105E-3</v>
      </c>
      <c r="Z512">
        <v>8.6645908267566994E-3</v>
      </c>
      <c r="AA512">
        <v>8.8961699013622893E-3</v>
      </c>
      <c r="AB512">
        <v>9.0808931763422703E-3</v>
      </c>
      <c r="AC512">
        <v>9.2529826907048005E-3</v>
      </c>
      <c r="AD512">
        <v>9.4345353688868004E-3</v>
      </c>
      <c r="AE512">
        <v>9.6139582126593993E-3</v>
      </c>
      <c r="AF512">
        <v>9.7853302213757598E-3</v>
      </c>
      <c r="AG512">
        <v>9.9681836622132099E-3</v>
      </c>
      <c r="AH512">
        <v>1.0159252281066299E-2</v>
      </c>
      <c r="AI512">
        <v>1.0348442232816E-2</v>
      </c>
      <c r="AJ512">
        <v>1.05336054070202E-2</v>
      </c>
      <c r="AK512">
        <v>1.0711503937910099E-2</v>
      </c>
      <c r="AL512">
        <v>1.0890510018134E-2</v>
      </c>
      <c r="AM512">
        <v>1.1069615596178301E-2</v>
      </c>
      <c r="AN512">
        <v>1.12473783782622E-2</v>
      </c>
      <c r="AO512">
        <v>1.1426977840711099E-2</v>
      </c>
      <c r="AP512">
        <v>1.1613407913931501E-2</v>
      </c>
      <c r="AQ512">
        <v>1.17889518743685E-2</v>
      </c>
      <c r="AR512">
        <v>1.19640586273408E-2</v>
      </c>
      <c r="AS512">
        <v>1.21322261796595E-2</v>
      </c>
    </row>
    <row r="513" spans="1:45" hidden="1" x14ac:dyDescent="0.3">
      <c r="A513" t="s">
        <v>707</v>
      </c>
      <c r="B513" t="s">
        <v>684</v>
      </c>
      <c r="C513" t="s">
        <v>681</v>
      </c>
      <c r="D513" t="s">
        <v>680</v>
      </c>
      <c r="E513" t="s">
        <v>8</v>
      </c>
      <c r="F513">
        <v>999</v>
      </c>
      <c r="G513">
        <v>999</v>
      </c>
      <c r="H513">
        <v>999</v>
      </c>
      <c r="I513">
        <v>999</v>
      </c>
      <c r="J513">
        <v>8.5269533002000004E-4</v>
      </c>
      <c r="K513">
        <v>8.7752743833999995E-4</v>
      </c>
      <c r="L513">
        <v>-1.01863406598568E-19</v>
      </c>
      <c r="M513">
        <v>-8.7311491370201098E-20</v>
      </c>
      <c r="N513">
        <v>-5.8207660913467399E-20</v>
      </c>
      <c r="O513">
        <v>6.7428109468892199E-12</v>
      </c>
      <c r="P513">
        <v>1.3360648648813401E-11</v>
      </c>
      <c r="Q513">
        <v>1.9814202154520899E-11</v>
      </c>
      <c r="R513">
        <v>2.61689368635416E-11</v>
      </c>
      <c r="S513">
        <v>3.2345787272788599E-11</v>
      </c>
      <c r="T513">
        <v>3.8374402094632403E-11</v>
      </c>
      <c r="U513">
        <v>4.41437787376344E-11</v>
      </c>
      <c r="V513">
        <v>4.9816570011898902E-11</v>
      </c>
      <c r="W513">
        <v>5.5304841604083799E-11</v>
      </c>
      <c r="X513">
        <v>6.3261686358600904E-11</v>
      </c>
      <c r="Y513">
        <v>6.5701429732143901E-11</v>
      </c>
      <c r="Z513">
        <v>7.1838829899206806E-11</v>
      </c>
      <c r="AA513">
        <v>7.76794315315783E-11</v>
      </c>
      <c r="AB513">
        <v>8.3341235527768698E-11</v>
      </c>
      <c r="AC513">
        <v>8.8822655379772201E-11</v>
      </c>
      <c r="AD513">
        <v>9.4150353455915997E-11</v>
      </c>
      <c r="AE513">
        <v>9.9244038108736306E-11</v>
      </c>
      <c r="AF513">
        <v>1.04258488398045E-10</v>
      </c>
      <c r="AG513">
        <v>1.09244616236538E-10</v>
      </c>
      <c r="AH513">
        <v>1.1426780000329E-10</v>
      </c>
      <c r="AI513">
        <v>1.1949567636475001E-10</v>
      </c>
      <c r="AJ513">
        <v>1.2455292511731401E-10</v>
      </c>
      <c r="AK513">
        <v>1.29718089941889E-10</v>
      </c>
      <c r="AL513">
        <v>1.3497670507058499E-10</v>
      </c>
      <c r="AM513">
        <v>1.4033129485324001E-10</v>
      </c>
      <c r="AN513">
        <v>1.4338718913495499E-10</v>
      </c>
      <c r="AO513">
        <v>1.48956725839525E-10</v>
      </c>
      <c r="AP513">
        <v>1.5447168331593301E-10</v>
      </c>
      <c r="AQ513">
        <v>1.5997623931616501E-10</v>
      </c>
      <c r="AR513">
        <v>1.65647969581187E-10</v>
      </c>
      <c r="AS513">
        <v>1.7151230387389701E-10</v>
      </c>
    </row>
    <row r="514" spans="1:45" hidden="1" x14ac:dyDescent="0.3">
      <c r="A514" t="s">
        <v>707</v>
      </c>
      <c r="B514" t="s">
        <v>682</v>
      </c>
      <c r="C514" t="s">
        <v>681</v>
      </c>
      <c r="D514" t="s">
        <v>680</v>
      </c>
      <c r="E514" t="s">
        <v>8</v>
      </c>
      <c r="F514">
        <v>999</v>
      </c>
      <c r="G514">
        <v>999</v>
      </c>
      <c r="H514">
        <v>999</v>
      </c>
      <c r="I514">
        <v>999</v>
      </c>
      <c r="J514">
        <v>8.5269533002000004E-4</v>
      </c>
      <c r="K514">
        <v>8.7752743833999995E-4</v>
      </c>
      <c r="L514">
        <v>-1.01863406598568E-19</v>
      </c>
      <c r="M514">
        <v>-8.7311491370201098E-20</v>
      </c>
      <c r="N514">
        <v>-5.8207660913467399E-20</v>
      </c>
      <c r="O514">
        <v>7.0906923501752303E-12</v>
      </c>
      <c r="P514">
        <v>1.4558918715920301E-11</v>
      </c>
      <c r="Q514">
        <v>2.2218528203666199E-11</v>
      </c>
      <c r="R514">
        <v>3.0066259554587298E-11</v>
      </c>
      <c r="S514">
        <v>3.80318975076079E-11</v>
      </c>
      <c r="T514">
        <v>4.5995048945769698E-11</v>
      </c>
      <c r="U514">
        <v>5.3834548685699697E-11</v>
      </c>
      <c r="V514">
        <v>6.1743249883875294E-11</v>
      </c>
      <c r="W514">
        <v>6.9595968816429394E-11</v>
      </c>
      <c r="X514">
        <v>8.0928879557177401E-11</v>
      </c>
      <c r="Y514">
        <v>8.5336793679743995E-11</v>
      </c>
      <c r="Z514">
        <v>9.4531420152634405E-11</v>
      </c>
      <c r="AA514">
        <v>1.0238542989827701E-10</v>
      </c>
      <c r="AB514">
        <v>1.09569808468223E-10</v>
      </c>
      <c r="AC514">
        <v>1.1636557243764401E-10</v>
      </c>
      <c r="AD514">
        <v>1.231181579642E-10</v>
      </c>
      <c r="AE514">
        <v>1.29656189121306E-10</v>
      </c>
      <c r="AF514">
        <v>1.3589115021750299E-10</v>
      </c>
      <c r="AG514">
        <v>1.4212674461305099E-10</v>
      </c>
      <c r="AH514">
        <v>1.4845800725743201E-10</v>
      </c>
      <c r="AI514">
        <v>1.5498100593686101E-10</v>
      </c>
      <c r="AJ514">
        <v>1.61142089869827E-10</v>
      </c>
      <c r="AK514">
        <v>1.67315581347793E-10</v>
      </c>
      <c r="AL514">
        <v>1.7362181795761001E-10</v>
      </c>
      <c r="AM514">
        <v>1.80042172316462E-10</v>
      </c>
      <c r="AN514">
        <v>1.8349710339680301E-10</v>
      </c>
      <c r="AO514">
        <v>1.90200907178223E-10</v>
      </c>
      <c r="AP514">
        <v>1.9697116967290599E-10</v>
      </c>
      <c r="AQ514">
        <v>2.0360935572534799E-10</v>
      </c>
      <c r="AR514">
        <v>2.1053310483694101E-10</v>
      </c>
      <c r="AS514">
        <v>2.1757673285901501E-10</v>
      </c>
    </row>
    <row r="515" spans="1:45" hidden="1" x14ac:dyDescent="0.3">
      <c r="A515" t="s">
        <v>706</v>
      </c>
      <c r="B515" t="s">
        <v>686</v>
      </c>
      <c r="C515" t="s">
        <v>681</v>
      </c>
      <c r="D515" t="s">
        <v>680</v>
      </c>
      <c r="E515" t="s">
        <v>704</v>
      </c>
      <c r="F515">
        <v>0.12992778429132801</v>
      </c>
      <c r="G515">
        <v>15.8246672642549</v>
      </c>
      <c r="H515">
        <v>24.908595888550899</v>
      </c>
      <c r="I515">
        <v>612.72465154212296</v>
      </c>
      <c r="J515">
        <v>0.26500056415950002</v>
      </c>
      <c r="K515">
        <v>0.26248307039129998</v>
      </c>
      <c r="L515">
        <v>0.23294661668087499</v>
      </c>
      <c r="M515">
        <v>0.29295981499621698</v>
      </c>
      <c r="N515">
        <v>0.27058159661800302</v>
      </c>
      <c r="O515">
        <v>0.27518180170879802</v>
      </c>
      <c r="P515">
        <v>0.27547336818560098</v>
      </c>
      <c r="Q515">
        <v>0.275627951111869</v>
      </c>
      <c r="R515">
        <v>0.27468493083367101</v>
      </c>
      <c r="S515">
        <v>0.27420396469676001</v>
      </c>
      <c r="T515">
        <v>0.27239413309461202</v>
      </c>
      <c r="U515">
        <v>0.27058853816356598</v>
      </c>
      <c r="V515">
        <v>0.26928678763775699</v>
      </c>
      <c r="W515">
        <v>0.268293531903458</v>
      </c>
      <c r="X515">
        <v>0.26811725082833099</v>
      </c>
      <c r="Y515">
        <v>0.26764825663183101</v>
      </c>
      <c r="Z515">
        <v>0.26689896075674702</v>
      </c>
      <c r="AA515">
        <v>0.26506741367005399</v>
      </c>
      <c r="AB515">
        <v>0.26406354297331702</v>
      </c>
      <c r="AC515">
        <v>0.26309276869549603</v>
      </c>
      <c r="AD515">
        <v>0.262694899556909</v>
      </c>
      <c r="AE515">
        <v>0.26258458800356499</v>
      </c>
      <c r="AF515">
        <v>0.26228222747421698</v>
      </c>
      <c r="AG515">
        <v>0.26208232159427403</v>
      </c>
      <c r="AH515">
        <v>0.26200766490690902</v>
      </c>
      <c r="AI515">
        <v>0.26194674702993198</v>
      </c>
      <c r="AJ515">
        <v>0.26169998491155599</v>
      </c>
      <c r="AK515">
        <v>0.26155290825906802</v>
      </c>
      <c r="AL515">
        <v>0.26152184577941601</v>
      </c>
      <c r="AM515">
        <v>0.26152854624014699</v>
      </c>
      <c r="AN515">
        <v>0.26147773074776098</v>
      </c>
      <c r="AO515">
        <v>0.26152908105585398</v>
      </c>
      <c r="AP515">
        <v>0.26161804500360702</v>
      </c>
      <c r="AQ515">
        <v>0.261570860060717</v>
      </c>
      <c r="AR515">
        <v>0.26177140189376003</v>
      </c>
      <c r="AS515">
        <v>0.262108099442244</v>
      </c>
    </row>
    <row r="516" spans="1:45" hidden="1" x14ac:dyDescent="0.3">
      <c r="A516" t="s">
        <v>706</v>
      </c>
      <c r="B516" t="s">
        <v>685</v>
      </c>
      <c r="C516" t="s">
        <v>681</v>
      </c>
      <c r="D516" t="s">
        <v>680</v>
      </c>
      <c r="E516" t="s">
        <v>704</v>
      </c>
      <c r="F516">
        <v>0.12992778429132801</v>
      </c>
      <c r="G516">
        <v>15.8246672642549</v>
      </c>
      <c r="H516">
        <v>24.908595888550899</v>
      </c>
      <c r="I516">
        <v>612.72465154212296</v>
      </c>
      <c r="J516">
        <v>0.26500056415950002</v>
      </c>
      <c r="K516">
        <v>0.26248307039129998</v>
      </c>
      <c r="L516">
        <v>0.23294661668087499</v>
      </c>
      <c r="M516">
        <v>0.29295981499621698</v>
      </c>
      <c r="N516">
        <v>0.27058159661800302</v>
      </c>
      <c r="O516">
        <v>0.26347868830222498</v>
      </c>
      <c r="P516">
        <v>0.253113447643663</v>
      </c>
      <c r="Q516">
        <v>0.24294621278185499</v>
      </c>
      <c r="R516">
        <v>0.23230269598230899</v>
      </c>
      <c r="S516">
        <v>0.22247671477228001</v>
      </c>
      <c r="T516">
        <v>0.21198149933821001</v>
      </c>
      <c r="U516">
        <v>0.201948549819569</v>
      </c>
      <c r="V516">
        <v>0.19271072213948601</v>
      </c>
      <c r="W516">
        <v>0.18405129792380101</v>
      </c>
      <c r="X516">
        <v>0.17624784869858601</v>
      </c>
      <c r="Y516">
        <v>0.16851615388427099</v>
      </c>
      <c r="Z516">
        <v>0.160764185038795</v>
      </c>
      <c r="AA516">
        <v>0.152331702787596</v>
      </c>
      <c r="AB516">
        <v>0.14481237304124001</v>
      </c>
      <c r="AC516">
        <v>0.141297807336038</v>
      </c>
      <c r="AD516">
        <v>0.14069723149211599</v>
      </c>
      <c r="AE516">
        <v>0.14025072420131399</v>
      </c>
      <c r="AF516">
        <v>0.13970117333034399</v>
      </c>
      <c r="AG516">
        <v>0.13920591928273501</v>
      </c>
      <c r="AH516">
        <v>0.13877668919647901</v>
      </c>
      <c r="AI516">
        <v>0.138353556222513</v>
      </c>
      <c r="AJ516">
        <v>0.13783173072462601</v>
      </c>
      <c r="AK516">
        <v>0.13736181250558299</v>
      </c>
      <c r="AL516">
        <v>0.13695727715369199</v>
      </c>
      <c r="AM516">
        <v>0.13657915637040099</v>
      </c>
      <c r="AN516">
        <v>0.136419572760139</v>
      </c>
      <c r="AO516">
        <v>0.136490607965922</v>
      </c>
      <c r="AP516">
        <v>0.13657772454171399</v>
      </c>
      <c r="AQ516">
        <v>0.136590413605651</v>
      </c>
      <c r="AR516">
        <v>0.136729453505746</v>
      </c>
      <c r="AS516">
        <v>0.13693685487968199</v>
      </c>
    </row>
    <row r="517" spans="1:45" hidden="1" x14ac:dyDescent="0.3">
      <c r="A517" t="s">
        <v>706</v>
      </c>
      <c r="B517" t="s">
        <v>684</v>
      </c>
      <c r="C517" t="s">
        <v>681</v>
      </c>
      <c r="D517" t="s">
        <v>680</v>
      </c>
      <c r="E517" t="s">
        <v>704</v>
      </c>
      <c r="F517">
        <v>0.12992778429132801</v>
      </c>
      <c r="G517">
        <v>15.8246672642549</v>
      </c>
      <c r="H517">
        <v>142810.07490254199</v>
      </c>
      <c r="I517">
        <v>3512974.1464772001</v>
      </c>
      <c r="J517">
        <v>4.0533916614688098E-4</v>
      </c>
      <c r="K517">
        <v>4.3726920227214798E-4</v>
      </c>
      <c r="L517">
        <v>2.1123738907339801E-4</v>
      </c>
      <c r="M517">
        <v>2.09264413008769E-4</v>
      </c>
      <c r="N517">
        <v>1.8032228834693201E-4</v>
      </c>
      <c r="O517">
        <v>1.5284134474815999E-5</v>
      </c>
      <c r="P517">
        <v>2.5886753489594099E-5</v>
      </c>
      <c r="Q517">
        <v>3.5863712448261897E-5</v>
      </c>
      <c r="R517">
        <v>4.4611503293384199E-5</v>
      </c>
      <c r="S517">
        <v>5.3003572157115998E-5</v>
      </c>
      <c r="T517">
        <v>5.6406716544860401E-5</v>
      </c>
      <c r="U517">
        <v>5.97302149560268E-5</v>
      </c>
      <c r="V517">
        <v>6.29369652085395E-5</v>
      </c>
      <c r="W517">
        <v>6.6100402830927694E-5</v>
      </c>
      <c r="X517">
        <v>6.8848291624008594E-5</v>
      </c>
      <c r="Y517">
        <v>6.3207377799760802E-5</v>
      </c>
      <c r="Z517">
        <v>5.99387783074514E-5</v>
      </c>
      <c r="AA517">
        <v>5.7139393232520801E-5</v>
      </c>
      <c r="AB517">
        <v>5.53340067494747E-5</v>
      </c>
      <c r="AC517">
        <v>5.3468092419664197E-5</v>
      </c>
      <c r="AD517">
        <v>5.2018075679322898E-5</v>
      </c>
      <c r="AE517">
        <v>5.0604713691388999E-5</v>
      </c>
      <c r="AF517">
        <v>4.8776012331377898E-5</v>
      </c>
      <c r="AG517">
        <v>4.7424150700350397E-5</v>
      </c>
      <c r="AH517">
        <v>4.5687991854593003E-5</v>
      </c>
      <c r="AI517">
        <v>4.3031014794124301E-5</v>
      </c>
      <c r="AJ517">
        <v>4.0268585588761002E-5</v>
      </c>
      <c r="AK517">
        <v>3.7542876890363701E-5</v>
      </c>
      <c r="AL517">
        <v>3.4919744653786301E-5</v>
      </c>
      <c r="AM517">
        <v>3.2389268936186998E-5</v>
      </c>
      <c r="AN517">
        <v>2.9661746568838701E-5</v>
      </c>
      <c r="AO517">
        <v>2.6958093070379801E-5</v>
      </c>
      <c r="AP517">
        <v>2.4514279281992999E-5</v>
      </c>
      <c r="AQ517">
        <v>2.2304942736525599E-5</v>
      </c>
      <c r="AR517">
        <v>2.03466328455387E-5</v>
      </c>
      <c r="AS517">
        <v>1.85914420122866E-5</v>
      </c>
    </row>
    <row r="518" spans="1:45" hidden="1" x14ac:dyDescent="0.3">
      <c r="A518" t="s">
        <v>706</v>
      </c>
      <c r="B518" t="s">
        <v>682</v>
      </c>
      <c r="C518" t="s">
        <v>681</v>
      </c>
      <c r="D518" t="s">
        <v>680</v>
      </c>
      <c r="E518" t="s">
        <v>704</v>
      </c>
      <c r="F518">
        <v>0.12992778429132801</v>
      </c>
      <c r="G518">
        <v>15.8246672642549</v>
      </c>
      <c r="H518">
        <v>142810.07490254199</v>
      </c>
      <c r="I518">
        <v>3512974.1464772001</v>
      </c>
      <c r="J518">
        <v>4.0507744412267998E-4</v>
      </c>
      <c r="K518">
        <v>4.3667002179494102E-4</v>
      </c>
      <c r="L518">
        <v>2.09606831383648E-4</v>
      </c>
      <c r="M518">
        <v>2.0618947022652299E-4</v>
      </c>
      <c r="N518">
        <v>1.7640183272010399E-4</v>
      </c>
      <c r="O518">
        <v>1.41170895310942E-5</v>
      </c>
      <c r="P518">
        <v>2.2711659906442699E-5</v>
      </c>
      <c r="Q518">
        <v>2.9965993136666799E-5</v>
      </c>
      <c r="R518">
        <v>3.5603245466891203E-5</v>
      </c>
      <c r="S518">
        <v>4.0455170150457097E-5</v>
      </c>
      <c r="T518">
        <v>4.1198168956432803E-5</v>
      </c>
      <c r="U518">
        <v>4.1765411294034899E-5</v>
      </c>
      <c r="V518">
        <v>4.2148299329509798E-5</v>
      </c>
      <c r="W518">
        <v>4.2407398273921603E-5</v>
      </c>
      <c r="X518">
        <v>4.2289259523805401E-5</v>
      </c>
      <c r="Y518">
        <v>3.7251571937058599E-5</v>
      </c>
      <c r="Z518">
        <v>3.3764998778400301E-5</v>
      </c>
      <c r="AA518">
        <v>3.0668361153732E-5</v>
      </c>
      <c r="AB518">
        <v>2.8336582429557401E-5</v>
      </c>
      <c r="AC518">
        <v>2.6826350954987799E-5</v>
      </c>
      <c r="AD518">
        <v>2.60021756776625E-5</v>
      </c>
      <c r="AE518">
        <v>2.5223949127484701E-5</v>
      </c>
      <c r="AF518">
        <v>2.4265202572097001E-5</v>
      </c>
      <c r="AG518">
        <v>2.3616472768331901E-5</v>
      </c>
      <c r="AH518">
        <v>2.27728877212103E-5</v>
      </c>
      <c r="AI518">
        <v>2.14741824312853E-5</v>
      </c>
      <c r="AJ518">
        <v>2.01260941948195E-5</v>
      </c>
      <c r="AK518">
        <v>1.8797473104788899E-5</v>
      </c>
      <c r="AL518">
        <v>1.75209817842861E-5</v>
      </c>
      <c r="AM518">
        <v>1.6291914956660099E-5</v>
      </c>
      <c r="AN518">
        <v>1.49766006637621E-5</v>
      </c>
      <c r="AO518">
        <v>1.36758573432432E-5</v>
      </c>
      <c r="AP518">
        <v>1.2494380172227799E-5</v>
      </c>
      <c r="AQ518">
        <v>1.14200682329832E-5</v>
      </c>
      <c r="AR518">
        <v>1.0464780128321199E-5</v>
      </c>
      <c r="AS518">
        <v>9.6051675060847004E-6</v>
      </c>
    </row>
    <row r="519" spans="1:45" hidden="1" x14ac:dyDescent="0.3">
      <c r="A519" t="s">
        <v>705</v>
      </c>
      <c r="B519" t="s">
        <v>686</v>
      </c>
      <c r="C519" t="s">
        <v>681</v>
      </c>
      <c r="D519" t="s">
        <v>680</v>
      </c>
      <c r="E519" t="s">
        <v>704</v>
      </c>
      <c r="F519">
        <v>2.2488451152612199</v>
      </c>
      <c r="G519">
        <v>17.205413701273599</v>
      </c>
      <c r="H519">
        <v>20.280519106271999</v>
      </c>
      <c r="I519">
        <v>382.24254237166002</v>
      </c>
      <c r="J519">
        <v>0.5231893388462</v>
      </c>
      <c r="K519">
        <v>0.4666282640344</v>
      </c>
      <c r="L519">
        <v>0.45072196890740002</v>
      </c>
      <c r="M519">
        <v>0.56566942478000004</v>
      </c>
      <c r="N519">
        <v>0.54453329655229998</v>
      </c>
      <c r="O519">
        <v>0.52292388827159997</v>
      </c>
      <c r="P519">
        <v>0.5219777099513</v>
      </c>
      <c r="Q519">
        <v>0.52075295708320002</v>
      </c>
      <c r="R519">
        <v>0.51954814096989999</v>
      </c>
      <c r="S519">
        <v>0.51822767031179995</v>
      </c>
      <c r="T519">
        <v>0.51744857674160005</v>
      </c>
      <c r="U519">
        <v>0.51710343374290002</v>
      </c>
      <c r="V519">
        <v>0.51759538998090004</v>
      </c>
      <c r="W519">
        <v>0.51832111093510003</v>
      </c>
      <c r="X519">
        <v>0.5193762282419</v>
      </c>
      <c r="Y519">
        <v>0.52078288950660001</v>
      </c>
      <c r="Z519">
        <v>0.52242568229899999</v>
      </c>
      <c r="AA519">
        <v>0.52378068625800001</v>
      </c>
      <c r="AB519">
        <v>0.52494761809059998</v>
      </c>
      <c r="AC519">
        <v>0.52651251473820004</v>
      </c>
      <c r="AD519">
        <v>0.5282719577278</v>
      </c>
      <c r="AE519">
        <v>0.52990067559020004</v>
      </c>
      <c r="AF519">
        <v>0.53167956295679997</v>
      </c>
      <c r="AG519">
        <v>0.5336525403465</v>
      </c>
      <c r="AH519">
        <v>0.53557284734129995</v>
      </c>
      <c r="AI519">
        <v>0.53740068003870001</v>
      </c>
      <c r="AJ519">
        <v>0.53927978075460004</v>
      </c>
      <c r="AK519">
        <v>0.54123378286610002</v>
      </c>
      <c r="AL519">
        <v>0.5431101712584</v>
      </c>
      <c r="AM519">
        <v>0.54505171574370004</v>
      </c>
      <c r="AN519">
        <v>0.54711175150809999</v>
      </c>
      <c r="AO519">
        <v>0.54923872081409997</v>
      </c>
      <c r="AP519">
        <v>0.55122801130129995</v>
      </c>
      <c r="AQ519">
        <v>0.5532313837392</v>
      </c>
      <c r="AR519">
        <v>0.55490472042939998</v>
      </c>
      <c r="AS519">
        <v>0.55673451313239997</v>
      </c>
    </row>
    <row r="520" spans="1:45" hidden="1" x14ac:dyDescent="0.3">
      <c r="A520" t="s">
        <v>705</v>
      </c>
      <c r="B520" t="s">
        <v>685</v>
      </c>
      <c r="C520" t="s">
        <v>681</v>
      </c>
      <c r="D520" t="s">
        <v>680</v>
      </c>
      <c r="E520" t="s">
        <v>704</v>
      </c>
      <c r="F520">
        <v>2.2488451152612199</v>
      </c>
      <c r="G520">
        <v>17.205413701273599</v>
      </c>
      <c r="H520">
        <v>20.280519106271999</v>
      </c>
      <c r="I520">
        <v>382.24254237166002</v>
      </c>
      <c r="J520">
        <v>0.5231893388462</v>
      </c>
      <c r="K520">
        <v>0.4666282640344</v>
      </c>
      <c r="L520">
        <v>0.45072196890740002</v>
      </c>
      <c r="M520">
        <v>0.56566942478000004</v>
      </c>
      <c r="N520">
        <v>0.54453329655229998</v>
      </c>
      <c r="O520">
        <v>0.50550669245716195</v>
      </c>
      <c r="P520">
        <v>0.48863749188463901</v>
      </c>
      <c r="Q520">
        <v>0.47206257922725497</v>
      </c>
      <c r="R520">
        <v>0.45607640678623201</v>
      </c>
      <c r="S520">
        <v>0.440528522868185</v>
      </c>
      <c r="T520">
        <v>0.42590792740695199</v>
      </c>
      <c r="U520">
        <v>0.41211623044187501</v>
      </c>
      <c r="V520">
        <v>0.39942521365092898</v>
      </c>
      <c r="W520">
        <v>0.38719851911684899</v>
      </c>
      <c r="X520">
        <v>0.37537083461704202</v>
      </c>
      <c r="Y520">
        <v>0.364041902985694</v>
      </c>
      <c r="Z520">
        <v>0.35312014197163399</v>
      </c>
      <c r="AA520">
        <v>0.34379933499661802</v>
      </c>
      <c r="AB520">
        <v>0.33612491847203901</v>
      </c>
      <c r="AC520">
        <v>0.32953945273778901</v>
      </c>
      <c r="AD520">
        <v>0.32330346986818698</v>
      </c>
      <c r="AE520">
        <v>0.31719030327521702</v>
      </c>
      <c r="AF520">
        <v>0.31130421192997898</v>
      </c>
      <c r="AG520">
        <v>0.30716636596920999</v>
      </c>
      <c r="AH520">
        <v>0.307115544472299</v>
      </c>
      <c r="AI520">
        <v>0.307151072661907</v>
      </c>
      <c r="AJ520">
        <v>0.30767376085220599</v>
      </c>
      <c r="AK520">
        <v>0.30825229569896001</v>
      </c>
      <c r="AL520">
        <v>0.30879727456005002</v>
      </c>
      <c r="AM520">
        <v>0.30944266172955798</v>
      </c>
      <c r="AN520">
        <v>0.31016778112841797</v>
      </c>
      <c r="AO520">
        <v>0.31094083918622101</v>
      </c>
      <c r="AP520">
        <v>0.311646195104546</v>
      </c>
      <c r="AQ520">
        <v>0.31237070750520701</v>
      </c>
      <c r="AR520">
        <v>0.31291926972643203</v>
      </c>
      <c r="AS520">
        <v>0.313566587804957</v>
      </c>
    </row>
    <row r="521" spans="1:45" hidden="1" x14ac:dyDescent="0.3">
      <c r="A521" t="s">
        <v>705</v>
      </c>
      <c r="B521" t="s">
        <v>684</v>
      </c>
      <c r="C521" t="s">
        <v>681</v>
      </c>
      <c r="D521" t="s">
        <v>680</v>
      </c>
      <c r="E521" t="s">
        <v>704</v>
      </c>
      <c r="F521">
        <v>2.2488451152612199</v>
      </c>
      <c r="G521">
        <v>17.205413701273599</v>
      </c>
      <c r="H521">
        <v>868.09528339305598</v>
      </c>
      <c r="I521">
        <v>16361.6595022154</v>
      </c>
      <c r="J521">
        <v>1.6353763441013401E-3</v>
      </c>
      <c r="K521">
        <v>1.54335071118754E-3</v>
      </c>
      <c r="L521">
        <v>1.02118896262688E-3</v>
      </c>
      <c r="M521">
        <v>1.16265014810797E-3</v>
      </c>
      <c r="N521">
        <v>9.9964352622469894E-4</v>
      </c>
      <c r="O521">
        <v>6.5334307681810299E-3</v>
      </c>
      <c r="P521">
        <v>7.7656831510944701E-3</v>
      </c>
      <c r="Q521">
        <v>8.6258326334602495E-3</v>
      </c>
      <c r="R521">
        <v>9.3365763048099803E-3</v>
      </c>
      <c r="S521">
        <v>9.9521468342999801E-3</v>
      </c>
      <c r="T521">
        <v>1.04156854106608E-2</v>
      </c>
      <c r="U521">
        <v>1.0848416098837001E-2</v>
      </c>
      <c r="V521">
        <v>1.1249028977780001E-2</v>
      </c>
      <c r="W521">
        <v>1.16187830490159E-2</v>
      </c>
      <c r="X521">
        <v>1.1982453448901901E-2</v>
      </c>
      <c r="Y521">
        <v>1.1394215063773E-2</v>
      </c>
      <c r="Z521">
        <v>1.09115298830948E-2</v>
      </c>
      <c r="AA521">
        <v>1.05288740228195E-2</v>
      </c>
      <c r="AB521">
        <v>1.0190874717645199E-2</v>
      </c>
      <c r="AC521">
        <v>1.00748966857475E-2</v>
      </c>
      <c r="AD521">
        <v>1.00317088053261E-2</v>
      </c>
      <c r="AE521">
        <v>9.9641726974601004E-3</v>
      </c>
      <c r="AF521">
        <v>9.9719673987492402E-3</v>
      </c>
      <c r="AG521">
        <v>1.00764117471717E-2</v>
      </c>
      <c r="AH521">
        <v>1.0147030678937E-2</v>
      </c>
      <c r="AI521">
        <v>9.9409706047885304E-3</v>
      </c>
      <c r="AJ521">
        <v>9.6447629539134494E-3</v>
      </c>
      <c r="AK521">
        <v>9.3713651722286007E-3</v>
      </c>
      <c r="AL521">
        <v>9.1340532955661094E-3</v>
      </c>
      <c r="AM521">
        <v>8.9117450991917698E-3</v>
      </c>
      <c r="AN521">
        <v>8.6815653892208799E-3</v>
      </c>
      <c r="AO521">
        <v>8.4872232533837692E-3</v>
      </c>
      <c r="AP521">
        <v>8.3179987988649499E-3</v>
      </c>
      <c r="AQ521">
        <v>8.1561796816489902E-3</v>
      </c>
      <c r="AR521">
        <v>7.9829106439861693E-3</v>
      </c>
      <c r="AS521">
        <v>7.8431001016268705E-3</v>
      </c>
    </row>
    <row r="522" spans="1:45" hidden="1" x14ac:dyDescent="0.3">
      <c r="A522" t="s">
        <v>705</v>
      </c>
      <c r="B522" t="s">
        <v>682</v>
      </c>
      <c r="C522" t="s">
        <v>681</v>
      </c>
      <c r="D522" t="s">
        <v>680</v>
      </c>
      <c r="E522" t="s">
        <v>704</v>
      </c>
      <c r="F522">
        <v>2.2488451152612199</v>
      </c>
      <c r="G522">
        <v>17.205413701273599</v>
      </c>
      <c r="H522">
        <v>868.09528339305598</v>
      </c>
      <c r="I522">
        <v>16361.6595022154</v>
      </c>
      <c r="J522">
        <v>1.63460943020895E-3</v>
      </c>
      <c r="K522">
        <v>1.54188182700055E-3</v>
      </c>
      <c r="L522">
        <v>1.01336887875823E-3</v>
      </c>
      <c r="M522">
        <v>1.1435687178329699E-3</v>
      </c>
      <c r="N522">
        <v>9.74435801796071E-4</v>
      </c>
      <c r="O522">
        <v>5.9858132417685197E-3</v>
      </c>
      <c r="P522">
        <v>6.7409160980032596E-3</v>
      </c>
      <c r="Q522">
        <v>7.1048190262606899E-3</v>
      </c>
      <c r="R522">
        <v>7.3072148367379899E-3</v>
      </c>
      <c r="S522">
        <v>7.41004075806988E-3</v>
      </c>
      <c r="T522">
        <v>7.3862551229599404E-3</v>
      </c>
      <c r="U522">
        <v>7.33613832154692E-3</v>
      </c>
      <c r="V522">
        <v>7.2631170419151696E-3</v>
      </c>
      <c r="W522">
        <v>7.1712224922786004E-3</v>
      </c>
      <c r="X522">
        <v>7.0770329769184502E-3</v>
      </c>
      <c r="Y522">
        <v>6.4388061426235103E-3</v>
      </c>
      <c r="Z522">
        <v>5.8989816119090202E-3</v>
      </c>
      <c r="AA522">
        <v>5.4521588649110598E-3</v>
      </c>
      <c r="AB522">
        <v>5.0590276755696799E-3</v>
      </c>
      <c r="AC522">
        <v>4.89360989058054E-3</v>
      </c>
      <c r="AD522">
        <v>4.77769645376761E-3</v>
      </c>
      <c r="AE522">
        <v>4.6665395573692002E-3</v>
      </c>
      <c r="AF522">
        <v>4.6022749478846102E-3</v>
      </c>
      <c r="AG522">
        <v>4.6206917676791899E-3</v>
      </c>
      <c r="AH522">
        <v>4.6592022878225803E-3</v>
      </c>
      <c r="AI522">
        <v>4.5618588287573997E-3</v>
      </c>
      <c r="AJ522">
        <v>4.4265120166927397E-3</v>
      </c>
      <c r="AK522">
        <v>4.3048117104485598E-3</v>
      </c>
      <c r="AL522">
        <v>4.2028016376341303E-3</v>
      </c>
      <c r="AM522">
        <v>4.1150943062986103E-3</v>
      </c>
      <c r="AN522">
        <v>4.02367300385492E-3</v>
      </c>
      <c r="AO522">
        <v>3.9516026232592899E-3</v>
      </c>
      <c r="AP522">
        <v>3.89380788579287E-3</v>
      </c>
      <c r="AQ522">
        <v>3.8407898510534099E-3</v>
      </c>
      <c r="AR522">
        <v>3.7859067433565299E-3</v>
      </c>
      <c r="AS522">
        <v>3.7504188009584399E-3</v>
      </c>
    </row>
    <row r="523" spans="1:45" hidden="1" x14ac:dyDescent="0.3">
      <c r="A523" t="s">
        <v>703</v>
      </c>
      <c r="B523" t="s">
        <v>686</v>
      </c>
      <c r="C523" t="s">
        <v>681</v>
      </c>
      <c r="D523" t="s">
        <v>680</v>
      </c>
      <c r="E523" t="s">
        <v>22</v>
      </c>
      <c r="F523">
        <v>13.6613714124749</v>
      </c>
      <c r="G523">
        <v>5.9346275925308003</v>
      </c>
      <c r="H523">
        <v>9.1536082924049893</v>
      </c>
      <c r="I523">
        <v>172.52509599131099</v>
      </c>
      <c r="J523">
        <v>0.10354866159580001</v>
      </c>
      <c r="K523">
        <v>0.10217345257759999</v>
      </c>
      <c r="L523">
        <v>0.1011204625589</v>
      </c>
      <c r="M523">
        <v>0.1015010220695</v>
      </c>
      <c r="N523">
        <v>0.1022510725916</v>
      </c>
      <c r="O523">
        <v>0.1025873236771</v>
      </c>
      <c r="P523">
        <v>0.10273981578370001</v>
      </c>
      <c r="Q523">
        <v>0.1029937022892</v>
      </c>
      <c r="R523">
        <v>0.1033669932176</v>
      </c>
      <c r="S523">
        <v>0.1038548194039</v>
      </c>
      <c r="T523">
        <v>0.10454500995300001</v>
      </c>
      <c r="U523">
        <v>0.10547836629140001</v>
      </c>
      <c r="V523">
        <v>0.10660791222929999</v>
      </c>
      <c r="W523">
        <v>0.1078941131892</v>
      </c>
      <c r="X523">
        <v>0.10932748404830001</v>
      </c>
      <c r="Y523">
        <v>0.1109430894342</v>
      </c>
      <c r="Z523">
        <v>0.1125617221666</v>
      </c>
      <c r="AA523">
        <v>0.1140601611863</v>
      </c>
      <c r="AB523">
        <v>0.1155172027893</v>
      </c>
      <c r="AC523">
        <v>0.1169980118542</v>
      </c>
      <c r="AD523">
        <v>0.1184955634615</v>
      </c>
      <c r="AE523">
        <v>0.11993513609170001</v>
      </c>
      <c r="AF523">
        <v>0.12133363942769999</v>
      </c>
      <c r="AG523">
        <v>0.1227284285435</v>
      </c>
      <c r="AH523">
        <v>0.1240993904884</v>
      </c>
      <c r="AI523">
        <v>0.12545859824</v>
      </c>
      <c r="AJ523">
        <v>0.1268471480319</v>
      </c>
      <c r="AK523">
        <v>0.128231888578</v>
      </c>
      <c r="AL523">
        <v>0.12963975492919999</v>
      </c>
      <c r="AM523">
        <v>0.1311038511364</v>
      </c>
      <c r="AN523">
        <v>0.1326287605881</v>
      </c>
      <c r="AO523">
        <v>0.13421450617639999</v>
      </c>
      <c r="AP523">
        <v>0.135835301214</v>
      </c>
      <c r="AQ523">
        <v>0.1374422419962</v>
      </c>
      <c r="AR523">
        <v>0.13901645336759999</v>
      </c>
      <c r="AS523">
        <v>0.14060735622439999</v>
      </c>
    </row>
    <row r="524" spans="1:45" hidden="1" x14ac:dyDescent="0.3">
      <c r="A524" t="s">
        <v>703</v>
      </c>
      <c r="B524" t="s">
        <v>685</v>
      </c>
      <c r="C524" t="s">
        <v>681</v>
      </c>
      <c r="D524" t="s">
        <v>680</v>
      </c>
      <c r="E524" t="s">
        <v>22</v>
      </c>
      <c r="F524">
        <v>13.6613714124749</v>
      </c>
      <c r="G524">
        <v>5.9346275925308003</v>
      </c>
      <c r="H524">
        <v>9.1536082924049893</v>
      </c>
      <c r="I524">
        <v>172.52509599131099</v>
      </c>
      <c r="J524">
        <v>0.10354866159580001</v>
      </c>
      <c r="K524">
        <v>0.10217345257759999</v>
      </c>
      <c r="L524">
        <v>0.1011204625589</v>
      </c>
      <c r="M524">
        <v>0.1015010220695</v>
      </c>
      <c r="N524">
        <v>0.1022510725916</v>
      </c>
      <c r="O524">
        <v>9.7837892456745304E-2</v>
      </c>
      <c r="P524">
        <v>9.3719077480961296E-2</v>
      </c>
      <c r="Q524">
        <v>8.9812338278305204E-2</v>
      </c>
      <c r="R524">
        <v>8.6124598177901496E-2</v>
      </c>
      <c r="S524">
        <v>8.2631830224418695E-2</v>
      </c>
      <c r="T524">
        <v>7.9377206416142196E-2</v>
      </c>
      <c r="U524">
        <v>7.6376500578218598E-2</v>
      </c>
      <c r="V524">
        <v>7.3570610642770803E-2</v>
      </c>
      <c r="W524">
        <v>7.0832720588528797E-2</v>
      </c>
      <c r="X524">
        <v>6.8054206940968698E-2</v>
      </c>
      <c r="Y524">
        <v>6.5398937299654E-2</v>
      </c>
      <c r="Z524">
        <v>6.2755729817887601E-2</v>
      </c>
      <c r="AA524">
        <v>6.1667305925544202E-2</v>
      </c>
      <c r="AB524">
        <v>6.2193456233408703E-2</v>
      </c>
      <c r="AC524">
        <v>6.2732091608913701E-2</v>
      </c>
      <c r="AD524">
        <v>6.3279757416562193E-2</v>
      </c>
      <c r="AE524">
        <v>6.3797066745100703E-2</v>
      </c>
      <c r="AF524">
        <v>6.4293119568706106E-2</v>
      </c>
      <c r="AG524">
        <v>6.4787857487248995E-2</v>
      </c>
      <c r="AH524">
        <v>6.5270725450277095E-2</v>
      </c>
      <c r="AI524">
        <v>6.5865105418359299E-2</v>
      </c>
      <c r="AJ524">
        <v>6.6594086769220295E-2</v>
      </c>
      <c r="AK524">
        <v>6.7321068286034999E-2</v>
      </c>
      <c r="AL524">
        <v>6.8060190729116593E-2</v>
      </c>
      <c r="AM524">
        <v>6.8828833551391605E-2</v>
      </c>
      <c r="AN524">
        <v>6.9629403007759397E-2</v>
      </c>
      <c r="AO524">
        <v>7.04619111164526E-2</v>
      </c>
      <c r="AP524">
        <v>7.1312820002018606E-2</v>
      </c>
      <c r="AQ524">
        <v>7.2156455476234505E-2</v>
      </c>
      <c r="AR524">
        <v>7.2982908181609796E-2</v>
      </c>
      <c r="AS524">
        <v>7.38181238291898E-2</v>
      </c>
    </row>
    <row r="525" spans="1:45" hidden="1" x14ac:dyDescent="0.3">
      <c r="A525" t="s">
        <v>703</v>
      </c>
      <c r="B525" t="s">
        <v>684</v>
      </c>
      <c r="C525" t="s">
        <v>681</v>
      </c>
      <c r="D525" t="s">
        <v>680</v>
      </c>
      <c r="E525" t="s">
        <v>22</v>
      </c>
      <c r="F525">
        <v>13.6613714124749</v>
      </c>
      <c r="G525">
        <v>5.9346275925308003</v>
      </c>
      <c r="H525">
        <v>999</v>
      </c>
      <c r="I525">
        <v>999</v>
      </c>
      <c r="J525">
        <v>0</v>
      </c>
      <c r="K525">
        <v>6.9849193096160898E-18</v>
      </c>
      <c r="L525">
        <v>-1.0710209608078E-17</v>
      </c>
      <c r="M525">
        <v>1.02445483207703E-17</v>
      </c>
      <c r="N525">
        <v>9.3132257461547896E-19</v>
      </c>
      <c r="O525">
        <v>1.80899517703801E-9</v>
      </c>
      <c r="P525">
        <v>3.2184318033978298E-9</v>
      </c>
      <c r="Q525">
        <v>4.3636151421815203E-9</v>
      </c>
      <c r="R525">
        <v>5.2825790047645602E-9</v>
      </c>
      <c r="S525">
        <v>6.06868891790509E-9</v>
      </c>
      <c r="T525">
        <v>6.7898781541734901E-9</v>
      </c>
      <c r="U525">
        <v>7.4851020760834192E-9</v>
      </c>
      <c r="V525">
        <v>7.8972378745675107E-9</v>
      </c>
      <c r="W525">
        <v>8.5688779056072204E-9</v>
      </c>
      <c r="X525">
        <v>9.0445989035069898E-9</v>
      </c>
      <c r="Y525">
        <v>9.5222696028649805E-9</v>
      </c>
      <c r="Z525">
        <v>9.9700908847153204E-9</v>
      </c>
      <c r="AA525">
        <v>1.03913444057107E-8</v>
      </c>
      <c r="AB525">
        <v>1.07678146734834E-8</v>
      </c>
      <c r="AC525">
        <v>1.1111000001430501E-8</v>
      </c>
      <c r="AD525">
        <v>1.14075834341347E-8</v>
      </c>
      <c r="AE525">
        <v>1.1661366812884799E-8</v>
      </c>
      <c r="AF525">
        <v>1.1884607937187001E-8</v>
      </c>
      <c r="AG525">
        <v>1.20709583908319E-8</v>
      </c>
      <c r="AH525">
        <v>1.22007074505091E-8</v>
      </c>
      <c r="AI525">
        <v>1.22439797669649E-8</v>
      </c>
      <c r="AJ525">
        <v>1.22996081709862E-8</v>
      </c>
      <c r="AK525">
        <v>1.22992353066802E-8</v>
      </c>
      <c r="AL525">
        <v>1.2257404580712301E-8</v>
      </c>
      <c r="AM525">
        <v>1.21862980350852E-8</v>
      </c>
      <c r="AN525">
        <v>1.2101990751922101E-8</v>
      </c>
      <c r="AO525">
        <v>1.2021691910922499E-8</v>
      </c>
      <c r="AP525">
        <v>1.19422377794981E-8</v>
      </c>
      <c r="AQ525">
        <v>1.18517622724175E-8</v>
      </c>
      <c r="AR525">
        <v>1.1726236924529099E-8</v>
      </c>
      <c r="AS525">
        <v>1.1574601247906699E-8</v>
      </c>
    </row>
    <row r="526" spans="1:45" hidden="1" x14ac:dyDescent="0.3">
      <c r="A526" t="s">
        <v>703</v>
      </c>
      <c r="B526" t="s">
        <v>682</v>
      </c>
      <c r="C526" t="s">
        <v>681</v>
      </c>
      <c r="D526" t="s">
        <v>680</v>
      </c>
      <c r="E526" t="s">
        <v>22</v>
      </c>
      <c r="F526">
        <v>13.6613714124749</v>
      </c>
      <c r="G526">
        <v>5.9346275925308003</v>
      </c>
      <c r="H526">
        <v>999</v>
      </c>
      <c r="I526">
        <v>999</v>
      </c>
      <c r="J526">
        <v>0</v>
      </c>
      <c r="K526">
        <v>6.9849193096160898E-18</v>
      </c>
      <c r="L526">
        <v>-1.0710209608078E-17</v>
      </c>
      <c r="M526">
        <v>1.02445483207703E-17</v>
      </c>
      <c r="N526">
        <v>9.3132257461547896E-19</v>
      </c>
      <c r="O526">
        <v>1.71371964644641E-9</v>
      </c>
      <c r="P526">
        <v>2.9084491506218901E-9</v>
      </c>
      <c r="Q526">
        <v>3.7676987098529901E-9</v>
      </c>
      <c r="R526">
        <v>4.3612422412261403E-9</v>
      </c>
      <c r="S526">
        <v>4.7912151347845797E-9</v>
      </c>
      <c r="T526">
        <v>5.1244005952030402E-9</v>
      </c>
      <c r="U526">
        <v>5.3981010243296604E-9</v>
      </c>
      <c r="V526">
        <v>5.4376615434884997E-9</v>
      </c>
      <c r="W526">
        <v>5.6237963829189504E-9</v>
      </c>
      <c r="X526">
        <v>5.6372619494795804E-9</v>
      </c>
      <c r="Y526">
        <v>5.6303850561380401E-9</v>
      </c>
      <c r="Z526">
        <v>5.5864167269319304E-9</v>
      </c>
      <c r="AA526">
        <v>5.64812675118446E-9</v>
      </c>
      <c r="AB526">
        <v>5.8209009114652902E-9</v>
      </c>
      <c r="AC526">
        <v>5.97553921118379E-9</v>
      </c>
      <c r="AD526">
        <v>6.1051513738930204E-9</v>
      </c>
      <c r="AE526">
        <v>6.2121551837772101E-9</v>
      </c>
      <c r="AF526">
        <v>6.30327151343226E-9</v>
      </c>
      <c r="AG526">
        <v>6.3752564489841501E-9</v>
      </c>
      <c r="AH526">
        <v>6.4179096221923799E-9</v>
      </c>
      <c r="AI526">
        <v>6.4280250817537302E-9</v>
      </c>
      <c r="AJ526">
        <v>6.4572297222912304E-9</v>
      </c>
      <c r="AK526">
        <v>6.4570339582860498E-9</v>
      </c>
      <c r="AL526">
        <v>6.4350730590522299E-9</v>
      </c>
      <c r="AM526">
        <v>6.3977424800396002E-9</v>
      </c>
      <c r="AN526">
        <v>6.3534816354513203E-9</v>
      </c>
      <c r="AO526">
        <v>6.3113251179456698E-9</v>
      </c>
      <c r="AP526">
        <v>6.2696121260523798E-9</v>
      </c>
      <c r="AQ526">
        <v>6.2221129573881603E-9</v>
      </c>
      <c r="AR526">
        <v>6.1562128402292697E-9</v>
      </c>
      <c r="AS526">
        <v>6.0766048766672601E-9</v>
      </c>
    </row>
    <row r="527" spans="1:45" hidden="1" x14ac:dyDescent="0.3">
      <c r="A527" t="s">
        <v>702</v>
      </c>
      <c r="B527" t="s">
        <v>686</v>
      </c>
      <c r="C527" t="s">
        <v>681</v>
      </c>
      <c r="D527" t="s">
        <v>680</v>
      </c>
      <c r="E527" t="s">
        <v>696</v>
      </c>
      <c r="F527">
        <v>15.574180977079401</v>
      </c>
      <c r="G527">
        <v>6.15502116241632</v>
      </c>
      <c r="H527">
        <v>7.1905287175105697</v>
      </c>
      <c r="I527">
        <v>135.525425339219</v>
      </c>
      <c r="J527">
        <v>0.4196406772504</v>
      </c>
      <c r="K527">
        <v>0.36445481145679998</v>
      </c>
      <c r="L527">
        <v>0.34960150634850001</v>
      </c>
      <c r="M527">
        <v>0.46416840271050003</v>
      </c>
      <c r="N527">
        <v>0.44228222396069999</v>
      </c>
      <c r="O527">
        <v>0.42033656459449997</v>
      </c>
      <c r="P527">
        <v>0.41923789416759999</v>
      </c>
      <c r="Q527">
        <v>0.417759254794</v>
      </c>
      <c r="R527">
        <v>0.41618114775229997</v>
      </c>
      <c r="S527">
        <v>0.41437285090789999</v>
      </c>
      <c r="T527">
        <v>0.41290356678860002</v>
      </c>
      <c r="U527">
        <v>0.41162506745150002</v>
      </c>
      <c r="V527">
        <v>0.41098747775159999</v>
      </c>
      <c r="W527">
        <v>0.41042699774590002</v>
      </c>
      <c r="X527">
        <v>0.41004874419359999</v>
      </c>
      <c r="Y527">
        <v>0.40983980007240001</v>
      </c>
      <c r="Z527">
        <v>0.40986396013240001</v>
      </c>
      <c r="AA527">
        <v>0.40972052507169998</v>
      </c>
      <c r="AB527">
        <v>0.40943041530129998</v>
      </c>
      <c r="AC527">
        <v>0.40951450288399999</v>
      </c>
      <c r="AD527">
        <v>0.40977639426630003</v>
      </c>
      <c r="AE527">
        <v>0.40996553949850001</v>
      </c>
      <c r="AF527">
        <v>0.41034592352909999</v>
      </c>
      <c r="AG527">
        <v>0.41092411180299998</v>
      </c>
      <c r="AH527">
        <v>0.41147345685289999</v>
      </c>
      <c r="AI527">
        <v>0.41194208179870001</v>
      </c>
      <c r="AJ527">
        <v>0.41243263272269998</v>
      </c>
      <c r="AK527">
        <v>0.41300189428810002</v>
      </c>
      <c r="AL527">
        <v>0.41347041632920001</v>
      </c>
      <c r="AM527">
        <v>0.41394786460729999</v>
      </c>
      <c r="AN527">
        <v>0.41448299092000002</v>
      </c>
      <c r="AO527">
        <v>0.41502421463770001</v>
      </c>
      <c r="AP527">
        <v>0.4153927100873</v>
      </c>
      <c r="AQ527">
        <v>0.41578914174300002</v>
      </c>
      <c r="AR527">
        <v>0.41588826706179999</v>
      </c>
      <c r="AS527">
        <v>0.41612715690800001</v>
      </c>
    </row>
    <row r="528" spans="1:45" hidden="1" x14ac:dyDescent="0.3">
      <c r="A528" t="s">
        <v>702</v>
      </c>
      <c r="B528" t="s">
        <v>685</v>
      </c>
      <c r="C528" t="s">
        <v>681</v>
      </c>
      <c r="D528" t="s">
        <v>680</v>
      </c>
      <c r="E528" t="s">
        <v>696</v>
      </c>
      <c r="F528">
        <v>15.574180977079401</v>
      </c>
      <c r="G528">
        <v>6.15502116241632</v>
      </c>
      <c r="H528">
        <v>7.1905287175105697</v>
      </c>
      <c r="I528">
        <v>135.525425339219</v>
      </c>
      <c r="J528">
        <v>0.4196406772504</v>
      </c>
      <c r="K528">
        <v>0.36445481145679998</v>
      </c>
      <c r="L528">
        <v>0.34960150634850001</v>
      </c>
      <c r="M528">
        <v>0.46416840271050003</v>
      </c>
      <c r="N528">
        <v>0.44228222396069999</v>
      </c>
      <c r="O528">
        <v>0.40822904814350902</v>
      </c>
      <c r="P528">
        <v>0.39598510399997</v>
      </c>
      <c r="Q528">
        <v>0.383786455440361</v>
      </c>
      <c r="R528">
        <v>0.37192051521496899</v>
      </c>
      <c r="S528">
        <v>0.36025953272164002</v>
      </c>
      <c r="T528">
        <v>0.34925525326027701</v>
      </c>
      <c r="U528">
        <v>0.33879052979012603</v>
      </c>
      <c r="V528">
        <v>0.32920567167325698</v>
      </c>
      <c r="W528">
        <v>0.31998026600446</v>
      </c>
      <c r="X528">
        <v>0.31115515037150498</v>
      </c>
      <c r="Y528">
        <v>0.30267978091123698</v>
      </c>
      <c r="Z528">
        <v>0.294584592373064</v>
      </c>
      <c r="AA528">
        <v>0.28663019960223202</v>
      </c>
      <c r="AB528">
        <v>0.27880139451818797</v>
      </c>
      <c r="AC528">
        <v>0.27194973728715</v>
      </c>
      <c r="AD528">
        <v>0.265420844553588</v>
      </c>
      <c r="AE528">
        <v>0.25902848942985901</v>
      </c>
      <c r="AF528">
        <v>0.25287677157386901</v>
      </c>
      <c r="AG528">
        <v>0.248401717535157</v>
      </c>
      <c r="AH528">
        <v>0.24783746748538399</v>
      </c>
      <c r="AI528">
        <v>0.247249599652687</v>
      </c>
      <c r="AJ528">
        <v>0.246953132246754</v>
      </c>
      <c r="AK528">
        <v>0.246718282566008</v>
      </c>
      <c r="AL528">
        <v>0.24643444118994101</v>
      </c>
      <c r="AM528">
        <v>0.24621502412423399</v>
      </c>
      <c r="AN528">
        <v>0.24604373575702301</v>
      </c>
      <c r="AO528">
        <v>0.245886574679993</v>
      </c>
      <c r="AP528">
        <v>0.24563901438191299</v>
      </c>
      <c r="AQ528">
        <v>0.24542054093944299</v>
      </c>
      <c r="AR528">
        <v>0.245036981211743</v>
      </c>
      <c r="AS528">
        <v>0.24474785567729901</v>
      </c>
    </row>
    <row r="529" spans="1:45" hidden="1" x14ac:dyDescent="0.3">
      <c r="A529" t="s">
        <v>702</v>
      </c>
      <c r="B529" t="s">
        <v>684</v>
      </c>
      <c r="C529" t="s">
        <v>681</v>
      </c>
      <c r="D529" t="s">
        <v>680</v>
      </c>
      <c r="E529" t="s">
        <v>696</v>
      </c>
      <c r="F529">
        <v>15.574180977079401</v>
      </c>
      <c r="G529">
        <v>6.15502116241632</v>
      </c>
      <c r="H529">
        <v>129.758714189274</v>
      </c>
      <c r="I529">
        <v>2445.6622903328098</v>
      </c>
      <c r="J529">
        <v>1.6353763441013401E-3</v>
      </c>
      <c r="K529">
        <v>1.54335071118739E-3</v>
      </c>
      <c r="L529">
        <v>1.02118896262697E-3</v>
      </c>
      <c r="M529">
        <v>1.16265014810806E-3</v>
      </c>
      <c r="N529">
        <v>9.9964352622470502E-4</v>
      </c>
      <c r="O529">
        <v>1.0456908419623301E-2</v>
      </c>
      <c r="P529">
        <v>1.2459583874871699E-2</v>
      </c>
      <c r="Q529">
        <v>1.3884877251878199E-2</v>
      </c>
      <c r="R529">
        <v>1.5076499629163799E-2</v>
      </c>
      <c r="S529">
        <v>1.6122712249705799E-2</v>
      </c>
      <c r="T529">
        <v>1.6929503524292101E-2</v>
      </c>
      <c r="U529">
        <v>1.7705547051420498E-2</v>
      </c>
      <c r="V529">
        <v>1.8451274445538599E-2</v>
      </c>
      <c r="W529">
        <v>1.9164107491738101E-2</v>
      </c>
      <c r="X529">
        <v>1.98576853601963E-2</v>
      </c>
      <c r="Y529">
        <v>1.8925555352423001E-2</v>
      </c>
      <c r="Z529">
        <v>1.8174444985707802E-2</v>
      </c>
      <c r="AA529">
        <v>1.7592800426359599E-2</v>
      </c>
      <c r="AB529">
        <v>1.70804224428532E-2</v>
      </c>
      <c r="AC529">
        <v>1.6906080299337999E-2</v>
      </c>
      <c r="AD529">
        <v>1.68493762376071E-2</v>
      </c>
      <c r="AE529">
        <v>1.6791774662250802E-2</v>
      </c>
      <c r="AF529">
        <v>1.6864511575014101E-2</v>
      </c>
      <c r="AG529">
        <v>1.7104905281940801E-2</v>
      </c>
      <c r="AH529">
        <v>1.7291395018658E-2</v>
      </c>
      <c r="AI529">
        <v>1.7044130439472501E-2</v>
      </c>
      <c r="AJ529">
        <v>1.6662774766527898E-2</v>
      </c>
      <c r="AK529">
        <v>1.6323782505974899E-2</v>
      </c>
      <c r="AL529">
        <v>1.6046540912961298E-2</v>
      </c>
      <c r="AM529">
        <v>1.5795771120074801E-2</v>
      </c>
      <c r="AN529">
        <v>1.5545789307853599E-2</v>
      </c>
      <c r="AO529">
        <v>1.5358986351357601E-2</v>
      </c>
      <c r="AP529">
        <v>1.5216519568949601E-2</v>
      </c>
      <c r="AQ529">
        <v>1.50846774006429E-2</v>
      </c>
      <c r="AR529">
        <v>1.4926883870867999E-2</v>
      </c>
      <c r="AS529">
        <v>1.48268252943801E-2</v>
      </c>
    </row>
    <row r="530" spans="1:45" hidden="1" x14ac:dyDescent="0.3">
      <c r="A530" t="s">
        <v>702</v>
      </c>
      <c r="B530" t="s">
        <v>682</v>
      </c>
      <c r="C530" t="s">
        <v>681</v>
      </c>
      <c r="D530" t="s">
        <v>680</v>
      </c>
      <c r="E530" t="s">
        <v>696</v>
      </c>
      <c r="F530">
        <v>15.574180977079401</v>
      </c>
      <c r="G530">
        <v>6.15502116241632</v>
      </c>
      <c r="H530">
        <v>129.758714189274</v>
      </c>
      <c r="I530">
        <v>2445.6622903328098</v>
      </c>
      <c r="J530">
        <v>1.63460943020895E-3</v>
      </c>
      <c r="K530">
        <v>1.5418818270004099E-3</v>
      </c>
      <c r="L530">
        <v>1.01336887875832E-3</v>
      </c>
      <c r="M530">
        <v>1.1435687178330701E-3</v>
      </c>
      <c r="N530">
        <v>9.7443580179607696E-4</v>
      </c>
      <c r="O530">
        <v>9.5976577655348793E-3</v>
      </c>
      <c r="P530">
        <v>1.0838923641892101E-2</v>
      </c>
      <c r="Q530">
        <v>1.14673052392505E-2</v>
      </c>
      <c r="R530">
        <v>1.1840061450424299E-2</v>
      </c>
      <c r="S530">
        <v>1.20569901992881E-2</v>
      </c>
      <c r="T530">
        <v>1.20717913519121E-2</v>
      </c>
      <c r="U530">
        <v>1.20546404610321E-2</v>
      </c>
      <c r="V530">
        <v>1.20111488077243E-2</v>
      </c>
      <c r="W530">
        <v>1.1943090969032601E-2</v>
      </c>
      <c r="X530">
        <v>1.18620084356304E-2</v>
      </c>
      <c r="Y530">
        <v>1.0820545948997701E-2</v>
      </c>
      <c r="Z530">
        <v>9.94739184468456E-3</v>
      </c>
      <c r="AA530">
        <v>9.2312824712445403E-3</v>
      </c>
      <c r="AB530">
        <v>8.6000757012679105E-3</v>
      </c>
      <c r="AC530">
        <v>8.3245166328228207E-3</v>
      </c>
      <c r="AD530">
        <v>8.1302542365952E-3</v>
      </c>
      <c r="AE530">
        <v>7.9617039501196692E-3</v>
      </c>
      <c r="AF530">
        <v>7.8774037039402792E-3</v>
      </c>
      <c r="AG530">
        <v>7.9372992780067098E-3</v>
      </c>
      <c r="AH530">
        <v>8.0308801983048506E-3</v>
      </c>
      <c r="AI530">
        <v>7.9177605472614994E-3</v>
      </c>
      <c r="AJ530">
        <v>7.7509392543557501E-3</v>
      </c>
      <c r="AK530">
        <v>7.6088308900932097E-3</v>
      </c>
      <c r="AL530">
        <v>7.5019025523874504E-3</v>
      </c>
      <c r="AM530">
        <v>7.4229925002018901E-3</v>
      </c>
      <c r="AN530">
        <v>7.3472225443660397E-3</v>
      </c>
      <c r="AO530">
        <v>7.3065959044739696E-3</v>
      </c>
      <c r="AP530">
        <v>7.2925401969451903E-3</v>
      </c>
      <c r="AQ530">
        <v>7.2855723131266701E-3</v>
      </c>
      <c r="AR530">
        <v>7.2720069258773203E-3</v>
      </c>
      <c r="AS530">
        <v>7.2945484961510296E-3</v>
      </c>
    </row>
    <row r="531" spans="1:45" hidden="1" x14ac:dyDescent="0.3">
      <c r="A531" t="s">
        <v>701</v>
      </c>
      <c r="B531" t="s">
        <v>686</v>
      </c>
      <c r="C531" t="s">
        <v>681</v>
      </c>
      <c r="D531" t="s">
        <v>680</v>
      </c>
      <c r="E531" t="s">
        <v>22</v>
      </c>
      <c r="F531">
        <v>45.369834003588799</v>
      </c>
      <c r="G531">
        <v>2.1870834790168101</v>
      </c>
      <c r="H531">
        <v>3.8903113059156298</v>
      </c>
      <c r="I531">
        <v>95.6974712654591</v>
      </c>
      <c r="J531">
        <v>0.34761580864769998</v>
      </c>
      <c r="K531">
        <v>0.34809760228140002</v>
      </c>
      <c r="L531">
        <v>0.34749909686656799</v>
      </c>
      <c r="M531">
        <v>0.351235037151025</v>
      </c>
      <c r="N531">
        <v>0.353280364807259</v>
      </c>
      <c r="O531">
        <v>0.35281057063096999</v>
      </c>
      <c r="P531">
        <v>0.349322297597359</v>
      </c>
      <c r="Q531">
        <v>0.34715233219828201</v>
      </c>
      <c r="R531">
        <v>0.345511183090563</v>
      </c>
      <c r="S531">
        <v>0.34473137281190103</v>
      </c>
      <c r="T531">
        <v>0.34230290637863398</v>
      </c>
      <c r="U531">
        <v>0.340088290492089</v>
      </c>
      <c r="V531">
        <v>0.33869949214484601</v>
      </c>
      <c r="W531">
        <v>0.33791810389688598</v>
      </c>
      <c r="X531">
        <v>0.33826143257775299</v>
      </c>
      <c r="Y531">
        <v>0.33837658346694</v>
      </c>
      <c r="Z531">
        <v>0.33832300185134601</v>
      </c>
      <c r="AA531">
        <v>0.33722574001519201</v>
      </c>
      <c r="AB531">
        <v>0.33736074907283597</v>
      </c>
      <c r="AC531">
        <v>0.33743637155851403</v>
      </c>
      <c r="AD531">
        <v>0.33827749353437098</v>
      </c>
      <c r="AE531">
        <v>0.33937678370803598</v>
      </c>
      <c r="AF531">
        <v>0.33994124487363198</v>
      </c>
      <c r="AG531">
        <v>0.340634840914319</v>
      </c>
      <c r="AH531">
        <v>0.341592937674492</v>
      </c>
      <c r="AI531">
        <v>0.34272035619711699</v>
      </c>
      <c r="AJ531">
        <v>0.34343609979800299</v>
      </c>
      <c r="AK531">
        <v>0.34431823006685303</v>
      </c>
      <c r="AL531">
        <v>0.34531575563449401</v>
      </c>
      <c r="AM531">
        <v>0.34653278700022</v>
      </c>
      <c r="AN531">
        <v>0.34777786340953798</v>
      </c>
      <c r="AO531">
        <v>0.34910738412348002</v>
      </c>
      <c r="AP531">
        <v>0.35067920650303203</v>
      </c>
      <c r="AQ531">
        <v>0.352001071884678</v>
      </c>
      <c r="AR531">
        <v>0.35366607554642898</v>
      </c>
      <c r="AS531">
        <v>0.35528747206821398</v>
      </c>
    </row>
    <row r="532" spans="1:45" hidden="1" x14ac:dyDescent="0.3">
      <c r="A532" t="s">
        <v>701</v>
      </c>
      <c r="B532" t="s">
        <v>685</v>
      </c>
      <c r="C532" t="s">
        <v>681</v>
      </c>
      <c r="D532" t="s">
        <v>680</v>
      </c>
      <c r="E532" t="s">
        <v>22</v>
      </c>
      <c r="F532">
        <v>45.369834003588799</v>
      </c>
      <c r="G532">
        <v>2.1870834790168101</v>
      </c>
      <c r="H532">
        <v>3.8903113059156298</v>
      </c>
      <c r="I532">
        <v>95.6974712654591</v>
      </c>
      <c r="J532">
        <v>0.34761580864769998</v>
      </c>
      <c r="K532">
        <v>0.34809760228140002</v>
      </c>
      <c r="L532">
        <v>0.34749909686656799</v>
      </c>
      <c r="M532">
        <v>0.351235037151025</v>
      </c>
      <c r="N532">
        <v>0.353280364807259</v>
      </c>
      <c r="O532">
        <v>0.33423868303811399</v>
      </c>
      <c r="P532">
        <v>0.31445747096492199</v>
      </c>
      <c r="Q532">
        <v>0.29668014605653198</v>
      </c>
      <c r="R532">
        <v>0.28012517963660799</v>
      </c>
      <c r="S532">
        <v>0.26492320335038599</v>
      </c>
      <c r="T532">
        <v>0.24908639525502199</v>
      </c>
      <c r="U532">
        <v>0.23410822151569999</v>
      </c>
      <c r="V532">
        <v>0.220327014337174</v>
      </c>
      <c r="W532">
        <v>0.20719583815046799</v>
      </c>
      <c r="X532">
        <v>0.194607512114267</v>
      </c>
      <c r="Y532">
        <v>0.18230516608346301</v>
      </c>
      <c r="Z532">
        <v>0.17033900831933199</v>
      </c>
      <c r="AA532">
        <v>0.163482336878569</v>
      </c>
      <c r="AB532">
        <v>0.16261638457383701</v>
      </c>
      <c r="AC532">
        <v>0.161733188290695</v>
      </c>
      <c r="AD532">
        <v>0.161227519043253</v>
      </c>
      <c r="AE532">
        <v>0.16085344725383</v>
      </c>
      <c r="AF532">
        <v>0.16023467393943899</v>
      </c>
      <c r="AG532">
        <v>0.15968644883115199</v>
      </c>
      <c r="AH532">
        <v>0.15927069497176899</v>
      </c>
      <c r="AI532">
        <v>0.15936337198200301</v>
      </c>
      <c r="AJ532">
        <v>0.15969618942820701</v>
      </c>
      <c r="AK532">
        <v>0.16010637590131699</v>
      </c>
      <c r="AL532">
        <v>0.16057022065177601</v>
      </c>
      <c r="AM532">
        <v>0.161136134577643</v>
      </c>
      <c r="AN532">
        <v>0.16171508931837</v>
      </c>
      <c r="AO532">
        <v>0.16233331026808201</v>
      </c>
      <c r="AP532">
        <v>0.16306420036559999</v>
      </c>
      <c r="AQ532">
        <v>0.163678861621391</v>
      </c>
      <c r="AR532">
        <v>0.164453080581838</v>
      </c>
      <c r="AS532">
        <v>0.16520702242497401</v>
      </c>
    </row>
    <row r="533" spans="1:45" hidden="1" x14ac:dyDescent="0.3">
      <c r="A533" t="s">
        <v>701</v>
      </c>
      <c r="B533" t="s">
        <v>684</v>
      </c>
      <c r="C533" t="s">
        <v>681</v>
      </c>
      <c r="D533" t="s">
        <v>680</v>
      </c>
      <c r="E533" t="s">
        <v>22</v>
      </c>
      <c r="F533">
        <v>45.369834003588799</v>
      </c>
      <c r="G533">
        <v>2.1870834790168101</v>
      </c>
      <c r="H533">
        <v>35.345430240562102</v>
      </c>
      <c r="I533">
        <v>869.45954419331395</v>
      </c>
      <c r="J533">
        <v>2.9802322387695302E-17</v>
      </c>
      <c r="K533">
        <v>1.7229467630386399E-17</v>
      </c>
      <c r="L533">
        <v>8.3819031715393093E-18</v>
      </c>
      <c r="M533">
        <v>-5.0291419029235797E-17</v>
      </c>
      <c r="N533">
        <v>1.49011611938477E-17</v>
      </c>
      <c r="O533">
        <v>4.5936840180824303E-3</v>
      </c>
      <c r="P533">
        <v>8.5559348759005598E-3</v>
      </c>
      <c r="Q533">
        <v>1.20513890316712E-2</v>
      </c>
      <c r="R533">
        <v>1.5140606069268101E-2</v>
      </c>
      <c r="S533">
        <v>1.79219299854846E-2</v>
      </c>
      <c r="T533">
        <v>2.0316038264502699E-2</v>
      </c>
      <c r="U533">
        <v>2.2422472140340498E-2</v>
      </c>
      <c r="V533">
        <v>2.3511846681637201E-2</v>
      </c>
      <c r="W533">
        <v>2.5535433317685301E-2</v>
      </c>
      <c r="X533">
        <v>2.74020177298329E-2</v>
      </c>
      <c r="Y533">
        <v>2.90557673835143E-2</v>
      </c>
      <c r="Z533">
        <v>3.05156324209176E-2</v>
      </c>
      <c r="AA533">
        <v>3.0637526628975301E-2</v>
      </c>
      <c r="AB533">
        <v>3.1932608820253401E-2</v>
      </c>
      <c r="AC533">
        <v>3.3082844377203401E-2</v>
      </c>
      <c r="AD533">
        <v>3.4179914766175198E-2</v>
      </c>
      <c r="AE533">
        <v>3.5193825085148102E-2</v>
      </c>
      <c r="AF533">
        <v>3.6057893920388703E-2</v>
      </c>
      <c r="AG533">
        <v>3.6251478081295599E-2</v>
      </c>
      <c r="AH533">
        <v>3.7024827141632702E-2</v>
      </c>
      <c r="AI533">
        <v>3.7721676250838297E-2</v>
      </c>
      <c r="AJ533">
        <v>3.8316525255700798E-2</v>
      </c>
      <c r="AK533">
        <v>3.8492485390600302E-2</v>
      </c>
      <c r="AL533">
        <v>3.9024097790343298E-2</v>
      </c>
      <c r="AM533">
        <v>3.9527166197635799E-2</v>
      </c>
      <c r="AN533">
        <v>3.9729282633257701E-2</v>
      </c>
      <c r="AO533">
        <v>4.02018741030633E-2</v>
      </c>
      <c r="AP533">
        <v>4.0670211415398699E-2</v>
      </c>
      <c r="AQ533">
        <v>4.1079324232524798E-2</v>
      </c>
      <c r="AR533">
        <v>4.1490456957951997E-2</v>
      </c>
      <c r="AS533">
        <v>4.1859532212457203E-2</v>
      </c>
    </row>
    <row r="534" spans="1:45" hidden="1" x14ac:dyDescent="0.3">
      <c r="A534" t="s">
        <v>701</v>
      </c>
      <c r="B534" t="s">
        <v>682</v>
      </c>
      <c r="C534" t="s">
        <v>681</v>
      </c>
      <c r="D534" t="s">
        <v>680</v>
      </c>
      <c r="E534" t="s">
        <v>22</v>
      </c>
      <c r="F534">
        <v>45.369834003588799</v>
      </c>
      <c r="G534">
        <v>2.1870834790168101</v>
      </c>
      <c r="H534">
        <v>35.345430240562102</v>
      </c>
      <c r="I534">
        <v>869.45954419331395</v>
      </c>
      <c r="J534">
        <v>2.9802322387695302E-17</v>
      </c>
      <c r="K534">
        <v>1.7229467630386399E-17</v>
      </c>
      <c r="L534">
        <v>8.3819031715393093E-18</v>
      </c>
      <c r="M534">
        <v>-5.0291419029235797E-17</v>
      </c>
      <c r="N534">
        <v>1.49011611938477E-17</v>
      </c>
      <c r="O534">
        <v>4.3161708615725202E-3</v>
      </c>
      <c r="P534">
        <v>7.6131309735765302E-3</v>
      </c>
      <c r="Q534">
        <v>1.0173115161306799E-2</v>
      </c>
      <c r="R534">
        <v>1.21369482629618E-2</v>
      </c>
      <c r="S534">
        <v>1.3642766653723401E-2</v>
      </c>
      <c r="T534">
        <v>1.46766234732125E-2</v>
      </c>
      <c r="U534">
        <v>1.53611584548758E-2</v>
      </c>
      <c r="V534">
        <v>1.52535471659396E-2</v>
      </c>
      <c r="W534">
        <v>1.5652483548931499E-2</v>
      </c>
      <c r="X534">
        <v>1.57927492169243E-2</v>
      </c>
      <c r="Y534">
        <v>1.57208830713482E-2</v>
      </c>
      <c r="Z534">
        <v>1.5473089765720699E-2</v>
      </c>
      <c r="AA534">
        <v>1.4981683356865999E-2</v>
      </c>
      <c r="AB534">
        <v>1.54958154379861E-2</v>
      </c>
      <c r="AC534">
        <v>1.5937122444542901E-2</v>
      </c>
      <c r="AD534">
        <v>1.6350991475366599E-2</v>
      </c>
      <c r="AE534">
        <v>1.6723639835860001E-2</v>
      </c>
      <c r="AF534">
        <v>1.7024137849377102E-2</v>
      </c>
      <c r="AG534">
        <v>1.7010964954220401E-2</v>
      </c>
      <c r="AH534">
        <v>1.7268185807285098E-2</v>
      </c>
      <c r="AI534">
        <v>1.7540404050845199E-2</v>
      </c>
      <c r="AJ534">
        <v>1.7817006072058401E-2</v>
      </c>
      <c r="AK534">
        <v>1.78988267165721E-2</v>
      </c>
      <c r="AL534">
        <v>1.8146024010454901E-2</v>
      </c>
      <c r="AM534">
        <v>1.83799484805778E-2</v>
      </c>
      <c r="AN534">
        <v>1.8473931683300599E-2</v>
      </c>
      <c r="AO534">
        <v>1.8693684519209799E-2</v>
      </c>
      <c r="AP534">
        <v>1.8911459191677301E-2</v>
      </c>
      <c r="AQ534">
        <v>1.9101694749266301E-2</v>
      </c>
      <c r="AR534">
        <v>1.9292869554822799E-2</v>
      </c>
      <c r="AS534">
        <v>1.9464487831967799E-2</v>
      </c>
    </row>
    <row r="535" spans="1:45" hidden="1" x14ac:dyDescent="0.3">
      <c r="A535" t="s">
        <v>700</v>
      </c>
      <c r="B535" t="s">
        <v>686</v>
      </c>
      <c r="C535" t="s">
        <v>681</v>
      </c>
      <c r="D535" t="s">
        <v>680</v>
      </c>
      <c r="E535" t="s">
        <v>22</v>
      </c>
      <c r="F535">
        <v>70.828316240341593</v>
      </c>
      <c r="G535">
        <v>1.4105265265014899</v>
      </c>
      <c r="H535">
        <v>2.5089976427463401</v>
      </c>
      <c r="I535">
        <v>61.718641759264301</v>
      </c>
      <c r="J535">
        <v>0.34761580864769998</v>
      </c>
      <c r="K535">
        <v>0.34809760228140002</v>
      </c>
      <c r="L535">
        <v>0.34749909686656799</v>
      </c>
      <c r="M535">
        <v>0.351235037151025</v>
      </c>
      <c r="N535">
        <v>0.353280364807259</v>
      </c>
      <c r="O535">
        <v>0.35281057063096999</v>
      </c>
      <c r="P535">
        <v>0.349322297597359</v>
      </c>
      <c r="Q535">
        <v>0.34715233219828201</v>
      </c>
      <c r="R535">
        <v>0.345511183090563</v>
      </c>
      <c r="S535">
        <v>0.34473137281190103</v>
      </c>
      <c r="T535">
        <v>0.34230290637863398</v>
      </c>
      <c r="U535">
        <v>0.340088290492089</v>
      </c>
      <c r="V535">
        <v>0.33869949214484601</v>
      </c>
      <c r="W535">
        <v>0.33791810389688598</v>
      </c>
      <c r="X535">
        <v>0.33826143257775299</v>
      </c>
      <c r="Y535">
        <v>0.33837658346694</v>
      </c>
      <c r="Z535">
        <v>0.33832300185134601</v>
      </c>
      <c r="AA535">
        <v>0.33722574001519201</v>
      </c>
      <c r="AB535">
        <v>0.33736074907283597</v>
      </c>
      <c r="AC535">
        <v>0.33743637155851403</v>
      </c>
      <c r="AD535">
        <v>0.33827749353437098</v>
      </c>
      <c r="AE535">
        <v>0.33937678370803598</v>
      </c>
      <c r="AF535">
        <v>0.33994124487363198</v>
      </c>
      <c r="AG535">
        <v>0.340634840914319</v>
      </c>
      <c r="AH535">
        <v>0.341592937674492</v>
      </c>
      <c r="AI535">
        <v>0.34272035619711699</v>
      </c>
      <c r="AJ535">
        <v>0.34343609979800299</v>
      </c>
      <c r="AK535">
        <v>0.34431823006685303</v>
      </c>
      <c r="AL535">
        <v>0.34531575563449401</v>
      </c>
      <c r="AM535">
        <v>0.34653278700022</v>
      </c>
      <c r="AN535">
        <v>0.34777786340953798</v>
      </c>
      <c r="AO535">
        <v>0.34910738412348002</v>
      </c>
      <c r="AP535">
        <v>0.35067920650303203</v>
      </c>
      <c r="AQ535">
        <v>0.352001071884678</v>
      </c>
      <c r="AR535">
        <v>0.35366607554642898</v>
      </c>
      <c r="AS535">
        <v>0.35528747206821398</v>
      </c>
    </row>
    <row r="536" spans="1:45" hidden="1" x14ac:dyDescent="0.3">
      <c r="A536" t="s">
        <v>700</v>
      </c>
      <c r="B536" t="s">
        <v>685</v>
      </c>
      <c r="C536" t="s">
        <v>681</v>
      </c>
      <c r="D536" t="s">
        <v>680</v>
      </c>
      <c r="E536" t="s">
        <v>22</v>
      </c>
      <c r="F536">
        <v>70.828316240341593</v>
      </c>
      <c r="G536">
        <v>1.4105265265014899</v>
      </c>
      <c r="H536">
        <v>2.5089976427463401</v>
      </c>
      <c r="I536">
        <v>61.718641759264301</v>
      </c>
      <c r="J536">
        <v>0.34761580864769998</v>
      </c>
      <c r="K536">
        <v>0.34809760228140002</v>
      </c>
      <c r="L536">
        <v>0.34749909686656799</v>
      </c>
      <c r="M536">
        <v>0.351235037151025</v>
      </c>
      <c r="N536">
        <v>0.353280364807259</v>
      </c>
      <c r="O536">
        <v>0.33865963608833699</v>
      </c>
      <c r="P536">
        <v>0.32275688376695999</v>
      </c>
      <c r="Q536">
        <v>0.308694819533266</v>
      </c>
      <c r="R536">
        <v>0.295690019234433</v>
      </c>
      <c r="S536">
        <v>0.28392117372089898</v>
      </c>
      <c r="T536">
        <v>0.27127616014147199</v>
      </c>
      <c r="U536">
        <v>0.25933629307608402</v>
      </c>
      <c r="V536">
        <v>0.24850504224143299</v>
      </c>
      <c r="W536">
        <v>0.238313676689721</v>
      </c>
      <c r="X536">
        <v>0.22880367201853999</v>
      </c>
      <c r="Y536">
        <v>0.21945725443658701</v>
      </c>
      <c r="Z536">
        <v>0.21032683103691199</v>
      </c>
      <c r="AA536">
        <v>0.204841160757537</v>
      </c>
      <c r="AB536">
        <v>0.20421348273515999</v>
      </c>
      <c r="AC536">
        <v>0.20355852888238099</v>
      </c>
      <c r="AD536">
        <v>0.20337345713677499</v>
      </c>
      <c r="AE536">
        <v>0.20335011243592699</v>
      </c>
      <c r="AF536">
        <v>0.203013002687358</v>
      </c>
      <c r="AG536">
        <v>0.20276038743396199</v>
      </c>
      <c r="AH536">
        <v>0.20267167244215301</v>
      </c>
      <c r="AI536">
        <v>0.20301066494522699</v>
      </c>
      <c r="AJ536">
        <v>0.20343463621427699</v>
      </c>
      <c r="AK536">
        <v>0.20395716675327</v>
      </c>
      <c r="AL536">
        <v>0.20454805178570201</v>
      </c>
      <c r="AM536">
        <v>0.205268961245405</v>
      </c>
      <c r="AN536">
        <v>0.20600648320811499</v>
      </c>
      <c r="AO536">
        <v>0.206794025819213</v>
      </c>
      <c r="AP536">
        <v>0.20772509600713299</v>
      </c>
      <c r="AQ536">
        <v>0.20850810397629399</v>
      </c>
      <c r="AR536">
        <v>0.209494370167947</v>
      </c>
      <c r="AS536">
        <v>0.21045480563690999</v>
      </c>
    </row>
    <row r="537" spans="1:45" hidden="1" x14ac:dyDescent="0.3">
      <c r="A537" t="s">
        <v>700</v>
      </c>
      <c r="B537" t="s">
        <v>684</v>
      </c>
      <c r="C537" t="s">
        <v>681</v>
      </c>
      <c r="D537" t="s">
        <v>680</v>
      </c>
      <c r="E537" t="s">
        <v>22</v>
      </c>
      <c r="F537">
        <v>70.828316240341593</v>
      </c>
      <c r="G537">
        <v>1.4105265265014899</v>
      </c>
      <c r="H537">
        <v>3.4361135580458599</v>
      </c>
      <c r="I537">
        <v>84.524695487975805</v>
      </c>
      <c r="J537">
        <v>2.9802322387695302E-17</v>
      </c>
      <c r="K537">
        <v>1.7229467630386399E-17</v>
      </c>
      <c r="L537">
        <v>8.3819031715393093E-18</v>
      </c>
      <c r="M537">
        <v>-5.0291419029235797E-17</v>
      </c>
      <c r="N537">
        <v>1.49011611938477E-17</v>
      </c>
      <c r="O537">
        <v>2.90370880636436E-2</v>
      </c>
      <c r="P537">
        <v>5.4613889046084899E-2</v>
      </c>
      <c r="Q537">
        <v>7.7381398434425694E-2</v>
      </c>
      <c r="R537">
        <v>9.7572980299727705E-2</v>
      </c>
      <c r="S537">
        <v>0.11570009566422799</v>
      </c>
      <c r="T537">
        <v>0.131222697052022</v>
      </c>
      <c r="U537">
        <v>0.14489346228971001</v>
      </c>
      <c r="V537">
        <v>0.152059440704783</v>
      </c>
      <c r="W537">
        <v>0.165471844249447</v>
      </c>
      <c r="X537">
        <v>0.17802223758998101</v>
      </c>
      <c r="Y537">
        <v>0.18921075025810399</v>
      </c>
      <c r="Z537">
        <v>0.19918032914304201</v>
      </c>
      <c r="AA537">
        <v>0.20003052674717001</v>
      </c>
      <c r="AB537">
        <v>0.20886326339530301</v>
      </c>
      <c r="AC537">
        <v>0.21678158478444101</v>
      </c>
      <c r="AD537">
        <v>0.22441461228698401</v>
      </c>
      <c r="AE537">
        <v>0.23152202150515799</v>
      </c>
      <c r="AF537">
        <v>0.237636225391368</v>
      </c>
      <c r="AG537">
        <v>0.23899243201676501</v>
      </c>
      <c r="AH537">
        <v>0.24478668467898701</v>
      </c>
      <c r="AI537">
        <v>0.25024916996886898</v>
      </c>
      <c r="AJ537">
        <v>0.25495807974719098</v>
      </c>
      <c r="AK537">
        <v>0.25625536864037601</v>
      </c>
      <c r="AL537">
        <v>0.26076751784444402</v>
      </c>
      <c r="AM537">
        <v>0.26510516383563998</v>
      </c>
      <c r="AN537">
        <v>0.26659712734443902</v>
      </c>
      <c r="AO537">
        <v>0.27066668825856099</v>
      </c>
      <c r="AP537">
        <v>0.27463635906551398</v>
      </c>
      <c r="AQ537">
        <v>0.27814860718739498</v>
      </c>
      <c r="AR537">
        <v>0.281657463205223</v>
      </c>
      <c r="AS537">
        <v>0.28491735634121401</v>
      </c>
    </row>
    <row r="538" spans="1:45" hidden="1" x14ac:dyDescent="0.3">
      <c r="A538" t="s">
        <v>700</v>
      </c>
      <c r="B538" t="s">
        <v>682</v>
      </c>
      <c r="C538" t="s">
        <v>681</v>
      </c>
      <c r="D538" t="s">
        <v>680</v>
      </c>
      <c r="E538" t="s">
        <v>22</v>
      </c>
      <c r="F538">
        <v>70.828316240341593</v>
      </c>
      <c r="G538">
        <v>1.4105265265014899</v>
      </c>
      <c r="H538">
        <v>3.4361135580458599</v>
      </c>
      <c r="I538">
        <v>84.524695487975805</v>
      </c>
      <c r="J538">
        <v>2.9802322387695302E-17</v>
      </c>
      <c r="K538">
        <v>1.7229467630386399E-17</v>
      </c>
      <c r="L538">
        <v>8.3819031715393093E-18</v>
      </c>
      <c r="M538">
        <v>-5.0291419029235797E-17</v>
      </c>
      <c r="N538">
        <v>1.49011611938477E-17</v>
      </c>
      <c r="O538">
        <v>2.77004784017333E-2</v>
      </c>
      <c r="P538">
        <v>5.0028685545431002E-2</v>
      </c>
      <c r="Q538">
        <v>6.8192805644701898E-2</v>
      </c>
      <c r="R538">
        <v>8.2825297937017206E-2</v>
      </c>
      <c r="S538">
        <v>9.4652517633929401E-2</v>
      </c>
      <c r="T538">
        <v>0.10346967735083699</v>
      </c>
      <c r="U538">
        <v>0.110126564302667</v>
      </c>
      <c r="V538">
        <v>0.111364316372924</v>
      </c>
      <c r="W538">
        <v>0.11667444281044601</v>
      </c>
      <c r="X538">
        <v>0.120554752161301</v>
      </c>
      <c r="Y538">
        <v>0.12304706983215299</v>
      </c>
      <c r="Z538">
        <v>0.12437200714788101</v>
      </c>
      <c r="AA538">
        <v>0.122153116412702</v>
      </c>
      <c r="AB538">
        <v>0.126952106298753</v>
      </c>
      <c r="AC538">
        <v>0.13118056328564801</v>
      </c>
      <c r="AD538">
        <v>0.135225129778798</v>
      </c>
      <c r="AE538">
        <v>0.138943500069097</v>
      </c>
      <c r="AF538">
        <v>0.14205892735661699</v>
      </c>
      <c r="AG538">
        <v>0.142343705119409</v>
      </c>
      <c r="AH538">
        <v>0.145261212661839</v>
      </c>
      <c r="AI538">
        <v>0.14823528710431</v>
      </c>
      <c r="AJ538">
        <v>0.151024613410666</v>
      </c>
      <c r="AK538">
        <v>0.15179306347810201</v>
      </c>
      <c r="AL538">
        <v>0.15446583850790899</v>
      </c>
      <c r="AM538">
        <v>0.15703524642619199</v>
      </c>
      <c r="AN538">
        <v>0.157919012150983</v>
      </c>
      <c r="AO538">
        <v>0.16032961966895601</v>
      </c>
      <c r="AP538">
        <v>0.162681057205598</v>
      </c>
      <c r="AQ538">
        <v>0.16476154006511501</v>
      </c>
      <c r="AR538">
        <v>0.166840013609204</v>
      </c>
      <c r="AS538">
        <v>0.168771013799946</v>
      </c>
    </row>
    <row r="539" spans="1:45" hidden="1" x14ac:dyDescent="0.3">
      <c r="A539" t="s">
        <v>699</v>
      </c>
      <c r="B539" t="s">
        <v>686</v>
      </c>
      <c r="C539" t="s">
        <v>681</v>
      </c>
      <c r="D539" t="s">
        <v>680</v>
      </c>
      <c r="E539" t="s">
        <v>22</v>
      </c>
      <c r="F539">
        <v>-12.134342764419801</v>
      </c>
      <c r="G539">
        <v>0</v>
      </c>
      <c r="H539">
        <v>999</v>
      </c>
      <c r="I539">
        <v>-708.65786999808495</v>
      </c>
      <c r="J539">
        <v>0.1141716042524</v>
      </c>
      <c r="K539">
        <v>0.1123541622432</v>
      </c>
      <c r="L539">
        <v>0.11092353649809999</v>
      </c>
      <c r="M539">
        <v>0.1107798461882</v>
      </c>
      <c r="N539">
        <v>0.11097512410469999</v>
      </c>
      <c r="O539">
        <v>0.1107830268561</v>
      </c>
      <c r="P539">
        <v>0.1104975271623</v>
      </c>
      <c r="Q539">
        <v>0.11036766747020001</v>
      </c>
      <c r="R539">
        <v>0.1104035249279</v>
      </c>
      <c r="S539">
        <v>0.110597295055</v>
      </c>
      <c r="T539">
        <v>0.1110324105873</v>
      </c>
      <c r="U539">
        <v>0.1117440376137</v>
      </c>
      <c r="V539">
        <v>0.11268692688119999</v>
      </c>
      <c r="W539">
        <v>0.11382120650579999</v>
      </c>
      <c r="X539">
        <v>0.1151376803855</v>
      </c>
      <c r="Y539">
        <v>0.1166722550088</v>
      </c>
      <c r="Z539">
        <v>0.1182042969322</v>
      </c>
      <c r="AA539">
        <v>0.1196094771237</v>
      </c>
      <c r="AB539">
        <v>0.1209693132617</v>
      </c>
      <c r="AC539">
        <v>0.12235099873620001</v>
      </c>
      <c r="AD539">
        <v>0.1237488502231</v>
      </c>
      <c r="AE539">
        <v>0.12508811431889999</v>
      </c>
      <c r="AF539">
        <v>0.12638855441890001</v>
      </c>
      <c r="AG539">
        <v>0.12768835790300001</v>
      </c>
      <c r="AH539">
        <v>0.1289688798093</v>
      </c>
      <c r="AI539">
        <v>0.13024377865190001</v>
      </c>
      <c r="AJ539">
        <v>0.13155626124719999</v>
      </c>
      <c r="AK539">
        <v>0.1328732741509</v>
      </c>
      <c r="AL539">
        <v>0.13422141264820001</v>
      </c>
      <c r="AM539">
        <v>0.1356342023546</v>
      </c>
      <c r="AN539">
        <v>0.13711610135659999</v>
      </c>
      <c r="AO539">
        <v>0.1386664322118</v>
      </c>
      <c r="AP539">
        <v>0.1402578120289</v>
      </c>
      <c r="AQ539">
        <v>0.1418388232691</v>
      </c>
      <c r="AR539">
        <v>0.14339112650159999</v>
      </c>
      <c r="AS539">
        <v>0.14496366097300001</v>
      </c>
    </row>
    <row r="540" spans="1:45" hidden="1" x14ac:dyDescent="0.3">
      <c r="A540" t="s">
        <v>699</v>
      </c>
      <c r="B540" t="s">
        <v>685</v>
      </c>
      <c r="C540" t="s">
        <v>681</v>
      </c>
      <c r="D540" t="s">
        <v>680</v>
      </c>
      <c r="E540" t="s">
        <v>22</v>
      </c>
      <c r="F540">
        <v>-12.134342764419801</v>
      </c>
      <c r="G540">
        <v>0</v>
      </c>
      <c r="H540">
        <v>999</v>
      </c>
      <c r="I540">
        <v>-708.65786999808495</v>
      </c>
      <c r="J540">
        <v>0.1141716042524</v>
      </c>
      <c r="K540">
        <v>0.1123541622432</v>
      </c>
      <c r="L540">
        <v>0.11092353649809999</v>
      </c>
      <c r="M540">
        <v>0.1107798461882</v>
      </c>
      <c r="N540">
        <v>0.11097512410469999</v>
      </c>
      <c r="O540">
        <v>0.11254478875177799</v>
      </c>
      <c r="P540">
        <v>0.11350109347951499</v>
      </c>
      <c r="Q540">
        <v>0.11431435677886199</v>
      </c>
      <c r="R540">
        <v>0.115093948398865</v>
      </c>
      <c r="S540">
        <v>0.116059360058615</v>
      </c>
      <c r="T540">
        <v>0.116983106353093</v>
      </c>
      <c r="U540">
        <v>0.118094075617871</v>
      </c>
      <c r="V540">
        <v>0.11939968588905001</v>
      </c>
      <c r="W540">
        <v>0.120884778934795</v>
      </c>
      <c r="X540">
        <v>0.122763540757013</v>
      </c>
      <c r="Y540">
        <v>0.124718961286196</v>
      </c>
      <c r="Z540">
        <v>0.12649166331768699</v>
      </c>
      <c r="AA540">
        <v>0.12739452307034299</v>
      </c>
      <c r="AB540">
        <v>0.12838253386248</v>
      </c>
      <c r="AC540">
        <v>0.12926930399707001</v>
      </c>
      <c r="AD540">
        <v>0.13039114262391099</v>
      </c>
      <c r="AE540">
        <v>0.13157120086725099</v>
      </c>
      <c r="AF540">
        <v>0.13253082698385801</v>
      </c>
      <c r="AG540">
        <v>0.13355200423024699</v>
      </c>
      <c r="AH540">
        <v>0.134617374110722</v>
      </c>
      <c r="AI540">
        <v>0.13561695854132599</v>
      </c>
      <c r="AJ540">
        <v>0.13659447545435</v>
      </c>
      <c r="AK540">
        <v>0.13754348604998601</v>
      </c>
      <c r="AL540">
        <v>0.13855871027351799</v>
      </c>
      <c r="AM540">
        <v>0.13965467694942599</v>
      </c>
      <c r="AN540">
        <v>0.14082308890131801</v>
      </c>
      <c r="AO540">
        <v>0.14209878245708099</v>
      </c>
      <c r="AP540">
        <v>0.14353155562827599</v>
      </c>
      <c r="AQ540">
        <v>0.14487849370092401</v>
      </c>
      <c r="AR540">
        <v>0.14625916875942699</v>
      </c>
      <c r="AS540">
        <v>0.14758522222114401</v>
      </c>
    </row>
    <row r="541" spans="1:45" hidden="1" x14ac:dyDescent="0.3">
      <c r="A541" t="s">
        <v>699</v>
      </c>
      <c r="B541" t="s">
        <v>684</v>
      </c>
      <c r="C541" t="s">
        <v>681</v>
      </c>
      <c r="D541" t="s">
        <v>680</v>
      </c>
      <c r="E541" t="s">
        <v>22</v>
      </c>
      <c r="F541">
        <v>-12.134342764419801</v>
      </c>
      <c r="G541">
        <v>0</v>
      </c>
      <c r="H541">
        <v>999</v>
      </c>
      <c r="I541">
        <v>-1280.32344580271</v>
      </c>
      <c r="J541">
        <v>-3.7252902984619097E-18</v>
      </c>
      <c r="K541">
        <v>-8.7165972217917397E-18</v>
      </c>
      <c r="L541">
        <v>-4.3073669075965897E-18</v>
      </c>
      <c r="M541">
        <v>5.9953890740871396E-18</v>
      </c>
      <c r="N541">
        <v>3.5506673157215097E-18</v>
      </c>
      <c r="O541">
        <v>6.6844402718778404E-3</v>
      </c>
      <c r="P541">
        <v>1.27633644509107E-2</v>
      </c>
      <c r="Q541">
        <v>1.82721148872537E-2</v>
      </c>
      <c r="R541">
        <v>2.32589141430752E-2</v>
      </c>
      <c r="S541">
        <v>2.7766615419879199E-2</v>
      </c>
      <c r="T541">
        <v>3.1874492141826097E-2</v>
      </c>
      <c r="U541">
        <v>3.5658082348029099E-2</v>
      </c>
      <c r="V541">
        <v>3.7872083546021999E-2</v>
      </c>
      <c r="W541">
        <v>4.16500213874735E-2</v>
      </c>
      <c r="X541">
        <v>4.5214028004963602E-2</v>
      </c>
      <c r="Y541">
        <v>4.8630561559383903E-2</v>
      </c>
      <c r="Z541">
        <v>5.1807052047866203E-2</v>
      </c>
      <c r="AA541">
        <v>5.4686424606368002E-2</v>
      </c>
      <c r="AB541">
        <v>5.7353033927733998E-2</v>
      </c>
      <c r="AC541">
        <v>5.9793007413065799E-2</v>
      </c>
      <c r="AD541">
        <v>6.2178428133608001E-2</v>
      </c>
      <c r="AE541">
        <v>6.4392661912693494E-2</v>
      </c>
      <c r="AF541">
        <v>6.6453521794394399E-2</v>
      </c>
      <c r="AG541">
        <v>6.8419687626388601E-2</v>
      </c>
      <c r="AH541">
        <v>7.03011816158952E-2</v>
      </c>
      <c r="AI541">
        <v>7.2137073832511195E-2</v>
      </c>
      <c r="AJ541">
        <v>7.3896781744958395E-2</v>
      </c>
      <c r="AK541">
        <v>7.5616364516374407E-2</v>
      </c>
      <c r="AL541">
        <v>7.7302152445604594E-2</v>
      </c>
      <c r="AM541">
        <v>7.8982775349843298E-2</v>
      </c>
      <c r="AN541">
        <v>8.0639262926073096E-2</v>
      </c>
      <c r="AO541">
        <v>8.2270902872421503E-2</v>
      </c>
      <c r="AP541">
        <v>8.3847498859263597E-2</v>
      </c>
      <c r="AQ541">
        <v>8.5377562508002006E-2</v>
      </c>
      <c r="AR541">
        <v>8.6838087086247503E-2</v>
      </c>
      <c r="AS541">
        <v>8.8308315668437998E-2</v>
      </c>
    </row>
    <row r="542" spans="1:45" hidden="1" x14ac:dyDescent="0.3">
      <c r="A542" t="s">
        <v>699</v>
      </c>
      <c r="B542" t="s">
        <v>682</v>
      </c>
      <c r="C542" t="s">
        <v>681</v>
      </c>
      <c r="D542" t="s">
        <v>680</v>
      </c>
      <c r="E542" t="s">
        <v>22</v>
      </c>
      <c r="F542">
        <v>-12.134342764419801</v>
      </c>
      <c r="G542">
        <v>0</v>
      </c>
      <c r="H542">
        <v>999</v>
      </c>
      <c r="I542">
        <v>-1280.32344580271</v>
      </c>
      <c r="J542">
        <v>-3.7252902984619097E-18</v>
      </c>
      <c r="K542">
        <v>-8.7165972217917397E-18</v>
      </c>
      <c r="L542">
        <v>-4.3073669075965897E-18</v>
      </c>
      <c r="M542">
        <v>5.9953890740871396E-18</v>
      </c>
      <c r="N542">
        <v>3.5506673157215097E-18</v>
      </c>
      <c r="O542">
        <v>6.8050615767614097E-3</v>
      </c>
      <c r="P542">
        <v>1.3143040925728501E-2</v>
      </c>
      <c r="Q542">
        <v>1.8967813320621502E-2</v>
      </c>
      <c r="R542">
        <v>2.4289950827544701E-2</v>
      </c>
      <c r="S542">
        <v>2.91766831879866E-2</v>
      </c>
      <c r="T542">
        <v>3.3612806581166201E-2</v>
      </c>
      <c r="U542">
        <v>3.77042559094804E-2</v>
      </c>
      <c r="V542">
        <v>4.0138943128209099E-2</v>
      </c>
      <c r="W542">
        <v>4.4236362337512103E-2</v>
      </c>
      <c r="X542">
        <v>4.8202487668090203E-2</v>
      </c>
      <c r="Y542">
        <v>5.1969380509525598E-2</v>
      </c>
      <c r="Z542">
        <v>5.5415055511637702E-2</v>
      </c>
      <c r="AA542">
        <v>5.8221823928531598E-2</v>
      </c>
      <c r="AB542">
        <v>6.08495573083664E-2</v>
      </c>
      <c r="AC542">
        <v>6.3160921190737698E-2</v>
      </c>
      <c r="AD542">
        <v>6.5506564628310601E-2</v>
      </c>
      <c r="AE542">
        <v>6.7723603636780899E-2</v>
      </c>
      <c r="AF542">
        <v>6.9679134846855395E-2</v>
      </c>
      <c r="AG542">
        <v>7.1559601130322004E-2</v>
      </c>
      <c r="AH542">
        <v>7.33795978673802E-2</v>
      </c>
      <c r="AI542">
        <v>7.5113073749058706E-2</v>
      </c>
      <c r="AJ542">
        <v>7.6726809081707897E-2</v>
      </c>
      <c r="AK542">
        <v>7.8274118286549205E-2</v>
      </c>
      <c r="AL542">
        <v>7.9800132727730205E-2</v>
      </c>
      <c r="AM542">
        <v>8.1323986019499306E-2</v>
      </c>
      <c r="AN542">
        <v>8.2819377006947997E-2</v>
      </c>
      <c r="AO542">
        <v>8.4307318962094605E-2</v>
      </c>
      <c r="AP542">
        <v>8.5804574966066596E-2</v>
      </c>
      <c r="AQ542">
        <v>8.7207242466671803E-2</v>
      </c>
      <c r="AR542">
        <v>8.8574981895769803E-2</v>
      </c>
      <c r="AS542">
        <v>8.9905306643220106E-2</v>
      </c>
    </row>
    <row r="543" spans="1:45" hidden="1" x14ac:dyDescent="0.3">
      <c r="A543" t="s">
        <v>698</v>
      </c>
      <c r="B543" t="s">
        <v>686</v>
      </c>
      <c r="C543" t="s">
        <v>681</v>
      </c>
      <c r="D543" t="s">
        <v>680</v>
      </c>
      <c r="E543" t="s">
        <v>696</v>
      </c>
      <c r="F543">
        <v>1829.6416369317201</v>
      </c>
      <c r="G543">
        <v>5.46555117578644E-2</v>
      </c>
      <c r="H543">
        <v>-1.2638961341301901E-2</v>
      </c>
      <c r="I543">
        <v>-0.31090484659808398</v>
      </c>
      <c r="J543">
        <v>0.26500056415950002</v>
      </c>
      <c r="K543">
        <v>0.26248307039129998</v>
      </c>
      <c r="L543">
        <v>0.23294661668087499</v>
      </c>
      <c r="M543">
        <v>0.29295981499621698</v>
      </c>
      <c r="N543">
        <v>0.27058159661800302</v>
      </c>
      <c r="O543">
        <v>0.27518180170879802</v>
      </c>
      <c r="P543">
        <v>0.27547336818560098</v>
      </c>
      <c r="Q543">
        <v>0.275627951111869</v>
      </c>
      <c r="R543">
        <v>0.27468493083367101</v>
      </c>
      <c r="S543">
        <v>0.27420396469676001</v>
      </c>
      <c r="T543">
        <v>0.27239413309461202</v>
      </c>
      <c r="U543">
        <v>0.27058853816356598</v>
      </c>
      <c r="V543">
        <v>0.26928678763775699</v>
      </c>
      <c r="W543">
        <v>0.268293531903458</v>
      </c>
      <c r="X543">
        <v>0.26811725082833099</v>
      </c>
      <c r="Y543">
        <v>0.26764825663183101</v>
      </c>
      <c r="Z543">
        <v>0.26689896075674702</v>
      </c>
      <c r="AA543">
        <v>0.26506741367005399</v>
      </c>
      <c r="AB543">
        <v>0.26406354297331702</v>
      </c>
      <c r="AC543">
        <v>0.26309276869549603</v>
      </c>
      <c r="AD543">
        <v>0.262694899556909</v>
      </c>
      <c r="AE543">
        <v>0.26258458800356499</v>
      </c>
      <c r="AF543">
        <v>0.26228222747421698</v>
      </c>
      <c r="AG543">
        <v>0.26208232159427403</v>
      </c>
      <c r="AH543">
        <v>0.26200766490690902</v>
      </c>
      <c r="AI543">
        <v>0.26194674702993198</v>
      </c>
      <c r="AJ543">
        <v>0.26169998491155599</v>
      </c>
      <c r="AK543">
        <v>0.26155290825906802</v>
      </c>
      <c r="AL543">
        <v>0.26152184577941601</v>
      </c>
      <c r="AM543">
        <v>0.26152854624014699</v>
      </c>
      <c r="AN543">
        <v>0.26147773074776098</v>
      </c>
      <c r="AO543">
        <v>0.26152908105585398</v>
      </c>
      <c r="AP543">
        <v>0.26161804500360702</v>
      </c>
      <c r="AQ543">
        <v>0.261570860060717</v>
      </c>
      <c r="AR543">
        <v>0.26177140189376003</v>
      </c>
      <c r="AS543">
        <v>0.262108099442244</v>
      </c>
    </row>
    <row r="544" spans="1:45" hidden="1" x14ac:dyDescent="0.3">
      <c r="A544" t="s">
        <v>698</v>
      </c>
      <c r="B544" t="s">
        <v>685</v>
      </c>
      <c r="C544" t="s">
        <v>681</v>
      </c>
      <c r="D544" t="s">
        <v>680</v>
      </c>
      <c r="E544" t="s">
        <v>696</v>
      </c>
      <c r="F544">
        <v>1829.6416369317201</v>
      </c>
      <c r="G544">
        <v>5.46555117578644E-2</v>
      </c>
      <c r="H544">
        <v>-1.2638961341301901E-2</v>
      </c>
      <c r="I544">
        <v>-0.31090484659808398</v>
      </c>
      <c r="J544">
        <v>0.26500056415950002</v>
      </c>
      <c r="K544">
        <v>0.26248307039129998</v>
      </c>
      <c r="L544">
        <v>0.23294661668087499</v>
      </c>
      <c r="M544">
        <v>0.29295981499621698</v>
      </c>
      <c r="N544">
        <v>0.27058159661800302</v>
      </c>
      <c r="O544">
        <v>0.26402479575784799</v>
      </c>
      <c r="P544">
        <v>0.254239054226155</v>
      </c>
      <c r="Q544">
        <v>0.244700167767119</v>
      </c>
      <c r="R544">
        <v>0.23471582747705899</v>
      </c>
      <c r="S544">
        <v>0.225583611173094</v>
      </c>
      <c r="T544">
        <v>0.21579775856064401</v>
      </c>
      <c r="U544">
        <v>0.20650687848330301</v>
      </c>
      <c r="V544">
        <v>0.19804254903341001</v>
      </c>
      <c r="W544">
        <v>0.19019606018184501</v>
      </c>
      <c r="X544">
        <v>0.18325527168366701</v>
      </c>
      <c r="Y544">
        <v>0.17641812734012899</v>
      </c>
      <c r="Z544">
        <v>0.16959478725365501</v>
      </c>
      <c r="AA544">
        <v>0.16209417616753</v>
      </c>
      <c r="AB544">
        <v>0.155510058817936</v>
      </c>
      <c r="AC544">
        <v>0.152614086304274</v>
      </c>
      <c r="AD544">
        <v>0.15246771034897899</v>
      </c>
      <c r="AE544">
        <v>0.15248518155629101</v>
      </c>
      <c r="AF544">
        <v>0.152401587871136</v>
      </c>
      <c r="AG544">
        <v>0.15237680084518401</v>
      </c>
      <c r="AH544">
        <v>0.152420115988814</v>
      </c>
      <c r="AI544">
        <v>0.152484244660889</v>
      </c>
      <c r="AJ544">
        <v>0.15243898208494899</v>
      </c>
      <c r="AK544">
        <v>0.152443226946959</v>
      </c>
      <c r="AL544">
        <v>0.152516430848401</v>
      </c>
      <c r="AM544">
        <v>0.15261043752796899</v>
      </c>
      <c r="AN544">
        <v>0.152889997021809</v>
      </c>
      <c r="AO544">
        <v>0.15339804294324799</v>
      </c>
      <c r="AP544">
        <v>0.153918420689832</v>
      </c>
      <c r="AQ544">
        <v>0.154341962424694</v>
      </c>
      <c r="AR544">
        <v>0.154914266572174</v>
      </c>
      <c r="AS544">
        <v>0.15556333573131201</v>
      </c>
    </row>
    <row r="545" spans="1:45" hidden="1" x14ac:dyDescent="0.3">
      <c r="A545" t="s">
        <v>698</v>
      </c>
      <c r="B545" t="s">
        <v>684</v>
      </c>
      <c r="C545" t="s">
        <v>681</v>
      </c>
      <c r="D545" t="s">
        <v>680</v>
      </c>
      <c r="E545" t="s">
        <v>696</v>
      </c>
      <c r="F545">
        <v>1829.6416369317201</v>
      </c>
      <c r="G545">
        <v>5.46555117578644E-2</v>
      </c>
      <c r="H545">
        <v>-0.96150111409568995</v>
      </c>
      <c r="I545">
        <v>-23.6518926128016</v>
      </c>
      <c r="J545">
        <v>4.0533916614688098E-4</v>
      </c>
      <c r="K545">
        <v>4.3726920227214798E-4</v>
      </c>
      <c r="L545">
        <v>2.1123738907339801E-4</v>
      </c>
      <c r="M545">
        <v>2.09264413008769E-4</v>
      </c>
      <c r="N545">
        <v>1.8032228834693201E-4</v>
      </c>
      <c r="O545">
        <v>1.3652972729436201E-3</v>
      </c>
      <c r="P545">
        <v>2.2902803614490799E-3</v>
      </c>
      <c r="Q545">
        <v>3.1596746051656501E-3</v>
      </c>
      <c r="R545">
        <v>3.9176411113601003E-3</v>
      </c>
      <c r="S545">
        <v>4.6435012097255299E-3</v>
      </c>
      <c r="T545">
        <v>4.9142591726248101E-3</v>
      </c>
      <c r="U545">
        <v>5.1810421837300401E-3</v>
      </c>
      <c r="V545">
        <v>5.4397075701320902E-3</v>
      </c>
      <c r="W545">
        <v>5.6963281492890599E-3</v>
      </c>
      <c r="X545">
        <v>5.9308689129542102E-3</v>
      </c>
      <c r="Y545">
        <v>5.5514646091866801E-3</v>
      </c>
      <c r="Z545">
        <v>5.3409835026657498E-3</v>
      </c>
      <c r="AA545">
        <v>5.1449659499280802E-3</v>
      </c>
      <c r="AB545">
        <v>5.0210340818572204E-3</v>
      </c>
      <c r="AC545">
        <v>4.8775363079318996E-3</v>
      </c>
      <c r="AD545">
        <v>4.7630606352485E-3</v>
      </c>
      <c r="AE545">
        <v>4.6455962608778897E-3</v>
      </c>
      <c r="AF545">
        <v>4.4851533778293698E-3</v>
      </c>
      <c r="AG545">
        <v>4.3675275323527404E-3</v>
      </c>
      <c r="AH545">
        <v>4.2119495579605697E-3</v>
      </c>
      <c r="AI545">
        <v>3.9675609602210296E-3</v>
      </c>
      <c r="AJ545">
        <v>3.7114518488594798E-3</v>
      </c>
      <c r="AK545">
        <v>3.4574159526866701E-3</v>
      </c>
      <c r="AL545">
        <v>3.2120223373591698E-3</v>
      </c>
      <c r="AM545">
        <v>2.97464269786899E-3</v>
      </c>
      <c r="AN545">
        <v>2.7195144077850199E-3</v>
      </c>
      <c r="AO545">
        <v>2.46703840362179E-3</v>
      </c>
      <c r="AP545">
        <v>2.2386316772740199E-3</v>
      </c>
      <c r="AQ545">
        <v>2.0319835650654599E-3</v>
      </c>
      <c r="AR545">
        <v>1.84855772301506E-3</v>
      </c>
      <c r="AS545">
        <v>1.6841471902430199E-3</v>
      </c>
    </row>
    <row r="546" spans="1:45" hidden="1" x14ac:dyDescent="0.3">
      <c r="A546" t="s">
        <v>698</v>
      </c>
      <c r="B546" t="s">
        <v>682</v>
      </c>
      <c r="C546" t="s">
        <v>681</v>
      </c>
      <c r="D546" t="s">
        <v>680</v>
      </c>
      <c r="E546" t="s">
        <v>696</v>
      </c>
      <c r="F546">
        <v>1829.6416369317201</v>
      </c>
      <c r="G546">
        <v>5.46555117578644E-2</v>
      </c>
      <c r="H546">
        <v>-0.96150111409568995</v>
      </c>
      <c r="I546">
        <v>-23.6518926128016</v>
      </c>
      <c r="J546">
        <v>4.0507744412267998E-4</v>
      </c>
      <c r="K546">
        <v>4.3667002179494102E-4</v>
      </c>
      <c r="L546">
        <v>2.09606831383648E-4</v>
      </c>
      <c r="M546">
        <v>2.0618947022652299E-4</v>
      </c>
      <c r="N546">
        <v>1.7640183272010399E-4</v>
      </c>
      <c r="O546">
        <v>1.2856710555957101E-3</v>
      </c>
      <c r="P546">
        <v>2.0824744126708202E-3</v>
      </c>
      <c r="Q546">
        <v>2.77963978002427E-3</v>
      </c>
      <c r="R546">
        <v>3.3438808270315101E-3</v>
      </c>
      <c r="S546">
        <v>3.8502951661869801E-3</v>
      </c>
      <c r="T546">
        <v>3.9657528698357801E-3</v>
      </c>
      <c r="U546">
        <v>4.0719955375831101E-3</v>
      </c>
      <c r="V546">
        <v>4.1668114449384796E-3</v>
      </c>
      <c r="W546">
        <v>4.2554548748307804E-3</v>
      </c>
      <c r="X546">
        <v>4.3201116674005903E-3</v>
      </c>
      <c r="Y546">
        <v>3.9251112085152504E-3</v>
      </c>
      <c r="Z546">
        <v>3.6612619366678599E-3</v>
      </c>
      <c r="AA546">
        <v>3.4194599651324099E-3</v>
      </c>
      <c r="AB546">
        <v>3.2426051580443801E-3</v>
      </c>
      <c r="AC546">
        <v>3.10745381748408E-3</v>
      </c>
      <c r="AD546">
        <v>3.02441200864647E-3</v>
      </c>
      <c r="AE546">
        <v>2.9437942618152101E-3</v>
      </c>
      <c r="AF546">
        <v>2.8394325937165302E-3</v>
      </c>
      <c r="AG546">
        <v>2.77086301869095E-3</v>
      </c>
      <c r="AH546">
        <v>2.6774228451230601E-3</v>
      </c>
      <c r="AI546">
        <v>2.5286730426904102E-3</v>
      </c>
      <c r="AJ546">
        <v>2.3725026407863201E-3</v>
      </c>
      <c r="AK546">
        <v>2.2173581484653802E-3</v>
      </c>
      <c r="AL546">
        <v>2.06728965272835E-3</v>
      </c>
      <c r="AM546">
        <v>1.9219746155076699E-3</v>
      </c>
      <c r="AN546">
        <v>1.7648538137061201E-3</v>
      </c>
      <c r="AO546">
        <v>1.6085802586584699E-3</v>
      </c>
      <c r="AP546">
        <v>1.46648383763233E-3</v>
      </c>
      <c r="AQ546">
        <v>1.33715991597575E-3</v>
      </c>
      <c r="AR546">
        <v>1.22207752757961E-3</v>
      </c>
      <c r="AS546">
        <v>1.11849545022313E-3</v>
      </c>
    </row>
    <row r="547" spans="1:45" hidden="1" x14ac:dyDescent="0.3">
      <c r="A547" t="s">
        <v>697</v>
      </c>
      <c r="B547" t="s">
        <v>686</v>
      </c>
      <c r="C547" t="s">
        <v>681</v>
      </c>
      <c r="D547" t="s">
        <v>680</v>
      </c>
      <c r="E547" t="s">
        <v>696</v>
      </c>
      <c r="F547">
        <v>2.0015034850071598</v>
      </c>
      <c r="G547">
        <v>13.576092374128701</v>
      </c>
      <c r="H547">
        <v>21.400018114205999</v>
      </c>
      <c r="I547">
        <v>401.34976121174998</v>
      </c>
      <c r="J547">
        <v>0.87284320666789905</v>
      </c>
      <c r="K547">
        <v>0.83085983903570604</v>
      </c>
      <c r="L547">
        <v>0.79737554667831301</v>
      </c>
      <c r="M547">
        <v>0.95398204091782302</v>
      </c>
      <c r="N547">
        <v>0.87684293672785796</v>
      </c>
      <c r="O547">
        <v>0.88739068035047997</v>
      </c>
      <c r="P547">
        <v>0.88708167536221905</v>
      </c>
      <c r="Q547">
        <v>0.88533518022563296</v>
      </c>
      <c r="R547">
        <v>0.88247253030043504</v>
      </c>
      <c r="S547">
        <v>0.88007966856116404</v>
      </c>
      <c r="T547">
        <v>0.87644342854458701</v>
      </c>
      <c r="U547">
        <v>0.87376968606885896</v>
      </c>
      <c r="V547">
        <v>0.87308839272973005</v>
      </c>
      <c r="W547">
        <v>0.87363384052208004</v>
      </c>
      <c r="X547">
        <v>0.87617980161880404</v>
      </c>
      <c r="Y547">
        <v>0.87885722143567802</v>
      </c>
      <c r="Z547">
        <v>0.88187614438841699</v>
      </c>
      <c r="AA547">
        <v>0.88319114395975595</v>
      </c>
      <c r="AB547">
        <v>0.88587544064413104</v>
      </c>
      <c r="AC547">
        <v>0.88940046091278901</v>
      </c>
      <c r="AD547">
        <v>0.89410299200648602</v>
      </c>
      <c r="AE547">
        <v>0.89909296710723696</v>
      </c>
      <c r="AF547">
        <v>0.90415632868900597</v>
      </c>
      <c r="AG547">
        <v>0.90955189512432999</v>
      </c>
      <c r="AH547">
        <v>0.91517086653690904</v>
      </c>
      <c r="AI547">
        <v>0.92104224021148695</v>
      </c>
      <c r="AJ547">
        <v>0.92649064903896505</v>
      </c>
      <c r="AK547">
        <v>0.93231832054519403</v>
      </c>
      <c r="AL547">
        <v>0.93818659928315395</v>
      </c>
      <c r="AM547">
        <v>0.94410152096269295</v>
      </c>
      <c r="AN547">
        <v>0.94990573456692295</v>
      </c>
      <c r="AO547">
        <v>0.95608127519604202</v>
      </c>
      <c r="AP547">
        <v>0.96203320675786197</v>
      </c>
      <c r="AQ547">
        <v>0.96747398649635497</v>
      </c>
      <c r="AR547">
        <v>0.97309705985673101</v>
      </c>
      <c r="AS547">
        <v>0.97918227356801402</v>
      </c>
    </row>
    <row r="548" spans="1:45" hidden="1" x14ac:dyDescent="0.3">
      <c r="A548" t="s">
        <v>697</v>
      </c>
      <c r="B548" t="s">
        <v>685</v>
      </c>
      <c r="C548" t="s">
        <v>681</v>
      </c>
      <c r="D548" t="s">
        <v>680</v>
      </c>
      <c r="E548" t="s">
        <v>696</v>
      </c>
      <c r="F548">
        <v>2.0015034850071598</v>
      </c>
      <c r="G548">
        <v>13.576092374128701</v>
      </c>
      <c r="H548">
        <v>21.400018114205999</v>
      </c>
      <c r="I548">
        <v>401.34976121174998</v>
      </c>
      <c r="J548">
        <v>0.87284320666789905</v>
      </c>
      <c r="K548">
        <v>0.83085983903570604</v>
      </c>
      <c r="L548">
        <v>0.79737554667831301</v>
      </c>
      <c r="M548">
        <v>0.95398204091782302</v>
      </c>
      <c r="N548">
        <v>0.87684293672785796</v>
      </c>
      <c r="O548">
        <v>0.85146566128018897</v>
      </c>
      <c r="P548">
        <v>0.81802831928950104</v>
      </c>
      <c r="Q548">
        <v>0.78422576873744598</v>
      </c>
      <c r="R548">
        <v>0.75076171961063098</v>
      </c>
      <c r="S548">
        <v>0.71911854477694404</v>
      </c>
      <c r="T548">
        <v>0.68728598207597402</v>
      </c>
      <c r="U548">
        <v>0.65735118026056605</v>
      </c>
      <c r="V548">
        <v>0.63006418757194205</v>
      </c>
      <c r="W548">
        <v>0.60464775829234496</v>
      </c>
      <c r="X548">
        <v>0.58226878241425695</v>
      </c>
      <c r="Y548">
        <v>0.56180747259839803</v>
      </c>
      <c r="Z548">
        <v>0.54193378346363796</v>
      </c>
      <c r="AA548">
        <v>0.521096331616419</v>
      </c>
      <c r="AB548">
        <v>0.50208930804241902</v>
      </c>
      <c r="AC548">
        <v>0.485537120745406</v>
      </c>
      <c r="AD548">
        <v>0.47108169955328</v>
      </c>
      <c r="AE548">
        <v>0.460896325298221</v>
      </c>
      <c r="AF548">
        <v>0.45198188753823498</v>
      </c>
      <c r="AG548">
        <v>0.44606220226762999</v>
      </c>
      <c r="AH548">
        <v>0.44741047634634401</v>
      </c>
      <c r="AI548">
        <v>0.44906046348691298</v>
      </c>
      <c r="AJ548">
        <v>0.450923049183171</v>
      </c>
      <c r="AK548">
        <v>0.45316372341247702</v>
      </c>
      <c r="AL548">
        <v>0.45548468109468498</v>
      </c>
      <c r="AM548">
        <v>0.45793877923079701</v>
      </c>
      <c r="AN548">
        <v>0.460379673683119</v>
      </c>
      <c r="AO548">
        <v>0.46314428094068699</v>
      </c>
      <c r="AP548">
        <v>0.465942750392356</v>
      </c>
      <c r="AQ548">
        <v>0.46834741353876402</v>
      </c>
      <c r="AR548">
        <v>0.47126522449040797</v>
      </c>
      <c r="AS548">
        <v>0.47444436496909698</v>
      </c>
    </row>
    <row r="549" spans="1:45" hidden="1" x14ac:dyDescent="0.3">
      <c r="A549" t="s">
        <v>697</v>
      </c>
      <c r="B549" t="s">
        <v>684</v>
      </c>
      <c r="C549" t="s">
        <v>681</v>
      </c>
      <c r="D549" t="s">
        <v>680</v>
      </c>
      <c r="E549" t="s">
        <v>696</v>
      </c>
      <c r="F549">
        <v>2.0015034850071598</v>
      </c>
      <c r="G549">
        <v>13.576092374128701</v>
      </c>
      <c r="H549">
        <v>3183.0569159036099</v>
      </c>
      <c r="I549">
        <v>66206.5481298503</v>
      </c>
      <c r="J549">
        <v>1.8048194533560201E-3</v>
      </c>
      <c r="K549">
        <v>1.72714470072299E-3</v>
      </c>
      <c r="L549">
        <v>1.12558280123326E-3</v>
      </c>
      <c r="M549">
        <v>1.27530616303325E-3</v>
      </c>
      <c r="N549">
        <v>1.1000761748890199E-3</v>
      </c>
      <c r="O549">
        <v>2.0506805256380002E-3</v>
      </c>
      <c r="P549">
        <v>3.3880443127265402E-3</v>
      </c>
      <c r="Q549">
        <v>4.6892458083547701E-3</v>
      </c>
      <c r="R549">
        <v>5.8668959725658096E-3</v>
      </c>
      <c r="S549">
        <v>6.9873648236284504E-3</v>
      </c>
      <c r="T549">
        <v>7.6220641994751504E-3</v>
      </c>
      <c r="U549">
        <v>8.2324324527044794E-3</v>
      </c>
      <c r="V549">
        <v>8.8144864202600107E-3</v>
      </c>
      <c r="W549">
        <v>9.3847790055868498E-3</v>
      </c>
      <c r="X549">
        <v>1.01304607794116E-2</v>
      </c>
      <c r="Y549">
        <v>9.0967862422326792E-3</v>
      </c>
      <c r="Z549">
        <v>8.7961821866999693E-3</v>
      </c>
      <c r="AA549">
        <v>8.6349441030045809E-3</v>
      </c>
      <c r="AB549">
        <v>8.3447663983268593E-3</v>
      </c>
      <c r="AC549">
        <v>8.1441570148067504E-3</v>
      </c>
      <c r="AD549">
        <v>8.0059567577569699E-3</v>
      </c>
      <c r="AE549">
        <v>7.8598976309461905E-3</v>
      </c>
      <c r="AF549">
        <v>7.7024468859709398E-3</v>
      </c>
      <c r="AG549">
        <v>7.6134421152224E-3</v>
      </c>
      <c r="AH549">
        <v>7.4556974973554197E-3</v>
      </c>
      <c r="AI549">
        <v>7.1201098182073503E-3</v>
      </c>
      <c r="AJ549">
        <v>6.7557997600750201E-3</v>
      </c>
      <c r="AK549">
        <v>6.3951757816474901E-3</v>
      </c>
      <c r="AL549">
        <v>6.0464287486120902E-3</v>
      </c>
      <c r="AM549">
        <v>5.7072700028250401E-3</v>
      </c>
      <c r="AN549">
        <v>5.3286951574913902E-3</v>
      </c>
      <c r="AO549">
        <v>4.9480568308742099E-3</v>
      </c>
      <c r="AP549">
        <v>4.6008207408170703E-3</v>
      </c>
      <c r="AQ549">
        <v>4.2821845770598596E-3</v>
      </c>
      <c r="AR549">
        <v>3.9954272647661996E-3</v>
      </c>
      <c r="AS549">
        <v>3.7385835215896601E-3</v>
      </c>
    </row>
    <row r="550" spans="1:45" hidden="1" x14ac:dyDescent="0.3">
      <c r="A550" t="s">
        <v>697</v>
      </c>
      <c r="B550" t="s">
        <v>682</v>
      </c>
      <c r="C550" t="s">
        <v>681</v>
      </c>
      <c r="D550" t="s">
        <v>680</v>
      </c>
      <c r="E550" t="s">
        <v>696</v>
      </c>
      <c r="F550">
        <v>2.0015034850071598</v>
      </c>
      <c r="G550">
        <v>13.576092374128701</v>
      </c>
      <c r="H550">
        <v>3183.0569159036099</v>
      </c>
      <c r="I550">
        <v>66206.5481298503</v>
      </c>
      <c r="J550">
        <v>1.80395685608618E-3</v>
      </c>
      <c r="K550">
        <v>1.72544870836621E-3</v>
      </c>
      <c r="L550">
        <v>1.1171009504501201E-3</v>
      </c>
      <c r="M550">
        <v>1.2549879688331499E-3</v>
      </c>
      <c r="N550">
        <v>1.07329064610275E-3</v>
      </c>
      <c r="O550">
        <v>1.8849366794596999E-3</v>
      </c>
      <c r="P550">
        <v>2.9722263334246201E-3</v>
      </c>
      <c r="Q550">
        <v>3.9412562146716604E-3</v>
      </c>
      <c r="R550">
        <v>4.7388697729774899E-3</v>
      </c>
      <c r="S550">
        <v>5.4372736055949304E-3</v>
      </c>
      <c r="T550">
        <v>5.7198877563019498E-3</v>
      </c>
      <c r="U550">
        <v>5.9647121290584302E-3</v>
      </c>
      <c r="V550">
        <v>6.1735535403045399E-3</v>
      </c>
      <c r="W550">
        <v>6.3612620588089702E-3</v>
      </c>
      <c r="X550">
        <v>6.6631184720904596E-3</v>
      </c>
      <c r="Y550">
        <v>5.8016991160221099E-3</v>
      </c>
      <c r="Z550">
        <v>5.4564057944650104E-3</v>
      </c>
      <c r="AA550">
        <v>5.2074731443160598E-3</v>
      </c>
      <c r="AB550">
        <v>4.8861110259156302E-3</v>
      </c>
      <c r="AC550">
        <v>4.6573182542522804E-3</v>
      </c>
      <c r="AD550">
        <v>4.4925106966126104E-3</v>
      </c>
      <c r="AE550">
        <v>4.3745773077678504E-3</v>
      </c>
      <c r="AF550">
        <v>4.26401836880708E-3</v>
      </c>
      <c r="AG550">
        <v>4.2109823701197702E-3</v>
      </c>
      <c r="AH550">
        <v>4.1274065140540304E-3</v>
      </c>
      <c r="AI550">
        <v>3.9469279247212703E-3</v>
      </c>
      <c r="AJ550">
        <v>3.7524796102934798E-3</v>
      </c>
      <c r="AK550">
        <v>3.5597819999563401E-3</v>
      </c>
      <c r="AL550">
        <v>3.3718648287812498E-3</v>
      </c>
      <c r="AM550">
        <v>3.18907774059877E-3</v>
      </c>
      <c r="AN550">
        <v>2.9793627561043399E-3</v>
      </c>
      <c r="AO550">
        <v>2.7649661693494101E-3</v>
      </c>
      <c r="AP550">
        <v>2.5688612829267198E-3</v>
      </c>
      <c r="AQ550">
        <v>2.3882806994297199E-3</v>
      </c>
      <c r="AR550">
        <v>2.22756424671516E-3</v>
      </c>
      <c r="AS550">
        <v>2.08286220271659E-3</v>
      </c>
    </row>
    <row r="551" spans="1:45" hidden="1" x14ac:dyDescent="0.3">
      <c r="A551" t="s">
        <v>695</v>
      </c>
      <c r="B551" t="s">
        <v>686</v>
      </c>
      <c r="C551" t="s">
        <v>681</v>
      </c>
      <c r="D551" t="s">
        <v>680</v>
      </c>
      <c r="E551" t="s">
        <v>21</v>
      </c>
      <c r="F551">
        <v>-0.49011737370064901</v>
      </c>
      <c r="G551">
        <v>17.7737387947607</v>
      </c>
      <c r="H551">
        <v>27.1447380004984</v>
      </c>
      <c r="I551">
        <v>667.73134089836503</v>
      </c>
      <c r="J551">
        <v>0.14457927565170001</v>
      </c>
      <c r="K551">
        <v>0.144567245136</v>
      </c>
      <c r="L551">
        <v>0.14245561951999999</v>
      </c>
      <c r="M551">
        <v>0.14109694179856999</v>
      </c>
      <c r="N551">
        <v>0.140008786847866</v>
      </c>
      <c r="O551">
        <v>0.13877231673972801</v>
      </c>
      <c r="P551">
        <v>0.13676844516707001</v>
      </c>
      <c r="Q551">
        <v>0.13493288357967401</v>
      </c>
      <c r="R551">
        <v>0.13333657441149799</v>
      </c>
      <c r="S551">
        <v>0.13247620587227801</v>
      </c>
      <c r="T551">
        <v>0.131391303047449</v>
      </c>
      <c r="U551">
        <v>0.130505648276626</v>
      </c>
      <c r="V551">
        <v>0.12984465105364801</v>
      </c>
      <c r="W551">
        <v>0.12938969590990301</v>
      </c>
      <c r="X551">
        <v>0.12941581621801199</v>
      </c>
      <c r="Y551">
        <v>0.12947224569284299</v>
      </c>
      <c r="Z551">
        <v>0.12956663757051701</v>
      </c>
      <c r="AA551">
        <v>0.12932991504444799</v>
      </c>
      <c r="AB551">
        <v>0.12969140288235001</v>
      </c>
      <c r="AC551">
        <v>0.130114815657418</v>
      </c>
      <c r="AD551">
        <v>0.13092718900588299</v>
      </c>
      <c r="AE551">
        <v>0.13197902216555699</v>
      </c>
      <c r="AF551">
        <v>0.13296868185549099</v>
      </c>
      <c r="AG551">
        <v>0.134141688490477</v>
      </c>
      <c r="AH551">
        <v>0.13547303467866101</v>
      </c>
      <c r="AI551">
        <v>0.13687589565557801</v>
      </c>
      <c r="AJ551">
        <v>0.13834480905818899</v>
      </c>
      <c r="AK551">
        <v>0.13987894858768399</v>
      </c>
      <c r="AL551">
        <v>0.141450982578087</v>
      </c>
      <c r="AM551">
        <v>0.143054926017567</v>
      </c>
      <c r="AN551">
        <v>0.14467815427192099</v>
      </c>
      <c r="AO551">
        <v>0.14634470238254299</v>
      </c>
      <c r="AP551">
        <v>0.14812164084340601</v>
      </c>
      <c r="AQ551">
        <v>0.149788241993771</v>
      </c>
      <c r="AR551">
        <v>0.151489630916256</v>
      </c>
      <c r="AS551">
        <v>0.15308762509937801</v>
      </c>
    </row>
    <row r="552" spans="1:45" hidden="1" x14ac:dyDescent="0.3">
      <c r="A552" t="s">
        <v>695</v>
      </c>
      <c r="B552" t="s">
        <v>685</v>
      </c>
      <c r="C552" t="s">
        <v>681</v>
      </c>
      <c r="D552" t="s">
        <v>680</v>
      </c>
      <c r="E552" t="s">
        <v>21</v>
      </c>
      <c r="F552">
        <v>-0.49011737370064901</v>
      </c>
      <c r="G552">
        <v>17.7737387947607</v>
      </c>
      <c r="H552">
        <v>27.1447380004984</v>
      </c>
      <c r="I552">
        <v>667.73134089836503</v>
      </c>
      <c r="J552">
        <v>0.14457927565170001</v>
      </c>
      <c r="K552">
        <v>0.144567245136</v>
      </c>
      <c r="L552">
        <v>0.14245561951999999</v>
      </c>
      <c r="M552">
        <v>0.14109694179856999</v>
      </c>
      <c r="N552">
        <v>0.140008786847866</v>
      </c>
      <c r="O552">
        <v>0.132503962869016</v>
      </c>
      <c r="P552">
        <v>0.12495151059210199</v>
      </c>
      <c r="Q552">
        <v>0.117893167953221</v>
      </c>
      <c r="R552">
        <v>0.111368859219515</v>
      </c>
      <c r="S552">
        <v>0.105727537063444</v>
      </c>
      <c r="T552">
        <v>0.10013286213916101</v>
      </c>
      <c r="U552">
        <v>9.4924630719813594E-2</v>
      </c>
      <c r="V552">
        <v>9.0089869508975795E-2</v>
      </c>
      <c r="W552">
        <v>8.5578557969289301E-2</v>
      </c>
      <c r="X552">
        <v>8.1531212008554704E-2</v>
      </c>
      <c r="Y552">
        <v>7.7627249728660405E-2</v>
      </c>
      <c r="Z552">
        <v>7.3870229845800106E-2</v>
      </c>
      <c r="AA552">
        <v>7.0002733715503196E-2</v>
      </c>
      <c r="AB552">
        <v>6.6382248819449097E-2</v>
      </c>
      <c r="AC552">
        <v>6.2894483650144897E-2</v>
      </c>
      <c r="AD552">
        <v>6.18090487240891E-2</v>
      </c>
      <c r="AE552">
        <v>6.2020163547560701E-2</v>
      </c>
      <c r="AF552">
        <v>6.2203794129298197E-2</v>
      </c>
      <c r="AG552">
        <v>6.2474628218728102E-2</v>
      </c>
      <c r="AH552">
        <v>6.2820085330671294E-2</v>
      </c>
      <c r="AI552">
        <v>6.3198688522970795E-2</v>
      </c>
      <c r="AJ552">
        <v>6.3607596043824793E-2</v>
      </c>
      <c r="AK552">
        <v>6.4046192392465298E-2</v>
      </c>
      <c r="AL552">
        <v>6.4501560938120997E-2</v>
      </c>
      <c r="AM552">
        <v>6.49708325416226E-2</v>
      </c>
      <c r="AN552">
        <v>6.5448329277463801E-2</v>
      </c>
      <c r="AO552">
        <v>6.5945005887043995E-2</v>
      </c>
      <c r="AP552">
        <v>6.6654738379532494E-2</v>
      </c>
      <c r="AQ552">
        <v>6.7404708897197005E-2</v>
      </c>
      <c r="AR552">
        <v>6.8170333912315098E-2</v>
      </c>
      <c r="AS552">
        <v>6.8889431294720097E-2</v>
      </c>
    </row>
    <row r="553" spans="1:45" hidden="1" x14ac:dyDescent="0.3">
      <c r="A553" t="s">
        <v>695</v>
      </c>
      <c r="B553" t="s">
        <v>684</v>
      </c>
      <c r="C553" t="s">
        <v>681</v>
      </c>
      <c r="D553" t="s">
        <v>680</v>
      </c>
      <c r="E553" t="s">
        <v>21</v>
      </c>
      <c r="F553">
        <v>-0.49011737370064901</v>
      </c>
      <c r="G553">
        <v>17.7737387947607</v>
      </c>
      <c r="H553">
        <v>537.59417289442104</v>
      </c>
      <c r="I553">
        <v>13224.2380795626</v>
      </c>
      <c r="J553">
        <v>-1.49011611938477E-17</v>
      </c>
      <c r="K553">
        <v>-1.4435499906539901E-17</v>
      </c>
      <c r="L553">
        <v>6.5192580223083502E-18</v>
      </c>
      <c r="M553">
        <v>1.8626451492309598E-18</v>
      </c>
      <c r="N553">
        <v>-7.4505805969238301E-18</v>
      </c>
      <c r="O553">
        <v>9.1072362880622302E-4</v>
      </c>
      <c r="P553">
        <v>1.6593973176869099E-3</v>
      </c>
      <c r="Q553">
        <v>2.2903897833275598E-3</v>
      </c>
      <c r="R553">
        <v>2.8270530411644299E-3</v>
      </c>
      <c r="S553">
        <v>3.30965903854415E-3</v>
      </c>
      <c r="T553">
        <v>3.7356075581430502E-3</v>
      </c>
      <c r="U553">
        <v>4.1139359030275902E-3</v>
      </c>
      <c r="V553">
        <v>4.4418287982412796E-3</v>
      </c>
      <c r="W553">
        <v>4.7307993877217097E-3</v>
      </c>
      <c r="X553">
        <v>4.9942703507847904E-3</v>
      </c>
      <c r="Y553">
        <v>5.1105603851812004E-3</v>
      </c>
      <c r="Z553">
        <v>5.1602616952284297E-3</v>
      </c>
      <c r="AA553">
        <v>5.37361764277265E-3</v>
      </c>
      <c r="AB553">
        <v>5.5894199790051703E-3</v>
      </c>
      <c r="AC553">
        <v>5.7885880677230996E-3</v>
      </c>
      <c r="AD553">
        <v>5.9875005683886996E-3</v>
      </c>
      <c r="AE553">
        <v>6.1859871045374399E-3</v>
      </c>
      <c r="AF553">
        <v>6.3754576502552899E-3</v>
      </c>
      <c r="AG553">
        <v>6.5643782437532E-3</v>
      </c>
      <c r="AH553">
        <v>6.7518944295023803E-3</v>
      </c>
      <c r="AI553">
        <v>6.9312509436782804E-3</v>
      </c>
      <c r="AJ553">
        <v>7.1199632344431801E-3</v>
      </c>
      <c r="AK553">
        <v>7.3078342447898299E-3</v>
      </c>
      <c r="AL553">
        <v>7.4964250076923599E-3</v>
      </c>
      <c r="AM553">
        <v>7.6857941287158801E-3</v>
      </c>
      <c r="AN553">
        <v>7.7938952064595599E-3</v>
      </c>
      <c r="AO553">
        <v>8.0022050064753898E-3</v>
      </c>
      <c r="AP553">
        <v>8.2209512103691706E-3</v>
      </c>
      <c r="AQ553">
        <v>8.4371534098844694E-3</v>
      </c>
      <c r="AR553">
        <v>8.6520250090334604E-3</v>
      </c>
      <c r="AS553">
        <v>8.8537422770135002E-3</v>
      </c>
    </row>
    <row r="554" spans="1:45" hidden="1" x14ac:dyDescent="0.3">
      <c r="A554" t="s">
        <v>695</v>
      </c>
      <c r="B554" t="s">
        <v>682</v>
      </c>
      <c r="C554" t="s">
        <v>681</v>
      </c>
      <c r="D554" t="s">
        <v>680</v>
      </c>
      <c r="E554" t="s">
        <v>21</v>
      </c>
      <c r="F554">
        <v>-0.49011737370064901</v>
      </c>
      <c r="G554">
        <v>17.7737387947607</v>
      </c>
      <c r="H554">
        <v>537.59417289442104</v>
      </c>
      <c r="I554">
        <v>13224.2380795626</v>
      </c>
      <c r="J554">
        <v>-1.49011611938477E-17</v>
      </c>
      <c r="K554">
        <v>-1.4435499906539901E-17</v>
      </c>
      <c r="L554">
        <v>6.5192580223083502E-18</v>
      </c>
      <c r="M554">
        <v>1.8626451492309598E-18</v>
      </c>
      <c r="N554">
        <v>-7.4505805969238301E-18</v>
      </c>
      <c r="O554">
        <v>8.5872719935723698E-4</v>
      </c>
      <c r="P554">
        <v>1.48830120684721E-3</v>
      </c>
      <c r="Q554">
        <v>1.96017975172082E-3</v>
      </c>
      <c r="R554">
        <v>2.3130240851392198E-3</v>
      </c>
      <c r="S554">
        <v>2.5908777062106001E-3</v>
      </c>
      <c r="T554">
        <v>2.7981563892292001E-3</v>
      </c>
      <c r="U554">
        <v>2.9486977255129602E-3</v>
      </c>
      <c r="V554">
        <v>3.0457028316253701E-3</v>
      </c>
      <c r="W554">
        <v>3.1015519171612802E-3</v>
      </c>
      <c r="X554">
        <v>3.1282431002266301E-3</v>
      </c>
      <c r="Y554">
        <v>3.0548034865590201E-3</v>
      </c>
      <c r="Z554">
        <v>2.9429070261781601E-3</v>
      </c>
      <c r="AA554">
        <v>2.9200290240811101E-3</v>
      </c>
      <c r="AB554">
        <v>2.8808277530412E-3</v>
      </c>
      <c r="AC554">
        <v>2.8265693910615999E-3</v>
      </c>
      <c r="AD554">
        <v>2.8550162286606002E-3</v>
      </c>
      <c r="AE554">
        <v>2.9309048552113798E-3</v>
      </c>
      <c r="AF554">
        <v>3.00251070816552E-3</v>
      </c>
      <c r="AG554">
        <v>3.0738125726549699E-3</v>
      </c>
      <c r="AH554">
        <v>3.1443919231719502E-3</v>
      </c>
      <c r="AI554">
        <v>3.2110683504494599E-3</v>
      </c>
      <c r="AJ554">
        <v>3.2819906399811001E-3</v>
      </c>
      <c r="AK554">
        <v>3.3523696639044501E-3</v>
      </c>
      <c r="AL554">
        <v>3.4229020189117201E-3</v>
      </c>
      <c r="AM554">
        <v>3.49359427357548E-3</v>
      </c>
      <c r="AN554">
        <v>3.5274408193808498E-3</v>
      </c>
      <c r="AO554">
        <v>3.60632377747877E-3</v>
      </c>
      <c r="AP554">
        <v>3.69942804466612E-3</v>
      </c>
      <c r="AQ554">
        <v>3.79671903444801E-3</v>
      </c>
      <c r="AR554">
        <v>3.8934112540650401E-3</v>
      </c>
      <c r="AS554">
        <v>3.9841840246560801E-3</v>
      </c>
    </row>
    <row r="555" spans="1:45" hidden="1" x14ac:dyDescent="0.3">
      <c r="A555" t="s">
        <v>694</v>
      </c>
      <c r="B555" t="s">
        <v>686</v>
      </c>
      <c r="C555" t="s">
        <v>681</v>
      </c>
      <c r="D555" t="s">
        <v>680</v>
      </c>
      <c r="E555" t="s">
        <v>693</v>
      </c>
      <c r="F555">
        <v>89.009667623603406</v>
      </c>
      <c r="G555">
        <v>1.12154273347567</v>
      </c>
      <c r="H555">
        <v>2.3450374415422499</v>
      </c>
      <c r="I555">
        <v>52.382024317170298</v>
      </c>
      <c r="J555">
        <v>1.6685612507851</v>
      </c>
      <c r="K555">
        <v>1.5420590692420999</v>
      </c>
      <c r="L555">
        <v>1.4293656008475499</v>
      </c>
      <c r="M555">
        <v>1.7380519740051199</v>
      </c>
      <c r="N555">
        <v>1.6085605328783701</v>
      </c>
      <c r="O555">
        <v>1.57616762696276</v>
      </c>
      <c r="P555">
        <v>1.5490816257387301</v>
      </c>
      <c r="Q555">
        <v>1.5322449015589199</v>
      </c>
      <c r="R555">
        <v>1.5228446012880601</v>
      </c>
      <c r="S555">
        <v>1.5166027220435001</v>
      </c>
      <c r="T555">
        <v>1.5069334919611901</v>
      </c>
      <c r="U555">
        <v>1.49872245315396</v>
      </c>
      <c r="V555">
        <v>1.49440251998185</v>
      </c>
      <c r="W555">
        <v>1.49256385194525</v>
      </c>
      <c r="X555">
        <v>1.49520741565792</v>
      </c>
      <c r="Y555">
        <v>1.4966308657318199</v>
      </c>
      <c r="Z555">
        <v>1.4979583303080399</v>
      </c>
      <c r="AA555">
        <v>1.4955235380290399</v>
      </c>
      <c r="AB555">
        <v>1.4966399517087201</v>
      </c>
      <c r="AC555">
        <v>1.4990769741957299</v>
      </c>
      <c r="AD555">
        <v>1.50422879607867</v>
      </c>
      <c r="AE555">
        <v>1.5102516767012699</v>
      </c>
      <c r="AF555">
        <v>1.5159006245306199</v>
      </c>
      <c r="AG555">
        <v>1.52213517195359</v>
      </c>
      <c r="AH555">
        <v>1.52916316642976</v>
      </c>
      <c r="AI555">
        <v>1.53555293298054</v>
      </c>
      <c r="AJ555">
        <v>1.5409067907689999</v>
      </c>
      <c r="AK555">
        <v>1.5472020670746101</v>
      </c>
      <c r="AL555">
        <v>1.55376370303588</v>
      </c>
      <c r="AM555">
        <v>1.5606241071911</v>
      </c>
      <c r="AN555">
        <v>1.56724106660956</v>
      </c>
      <c r="AO555">
        <v>1.57440951652946</v>
      </c>
      <c r="AP555">
        <v>1.5813592263223499</v>
      </c>
      <c r="AQ555">
        <v>1.5874042547974201</v>
      </c>
      <c r="AR555">
        <v>1.5941224522706801</v>
      </c>
      <c r="AS555">
        <v>1.6014725187981</v>
      </c>
    </row>
    <row r="556" spans="1:45" hidden="1" x14ac:dyDescent="0.3">
      <c r="A556" t="s">
        <v>694</v>
      </c>
      <c r="B556" t="s">
        <v>685</v>
      </c>
      <c r="C556" t="s">
        <v>681</v>
      </c>
      <c r="D556" t="s">
        <v>680</v>
      </c>
      <c r="E556" t="s">
        <v>693</v>
      </c>
      <c r="F556">
        <v>89.009667623603406</v>
      </c>
      <c r="G556">
        <v>1.12154273347567</v>
      </c>
      <c r="H556">
        <v>2.3450374415422499</v>
      </c>
      <c r="I556">
        <v>52.382024317170298</v>
      </c>
      <c r="J556">
        <v>1.6685612507851</v>
      </c>
      <c r="K556">
        <v>1.5420590692420999</v>
      </c>
      <c r="L556">
        <v>1.4293656008475499</v>
      </c>
      <c r="M556">
        <v>1.7380519740051199</v>
      </c>
      <c r="N556">
        <v>1.6085605328783701</v>
      </c>
      <c r="O556">
        <v>1.55178751145748</v>
      </c>
      <c r="P556">
        <v>1.51133224064505</v>
      </c>
      <c r="Q556">
        <v>1.4812278692594001</v>
      </c>
      <c r="R556">
        <v>1.45748676414217</v>
      </c>
      <c r="S556">
        <v>1.43700624631044</v>
      </c>
      <c r="T556">
        <v>1.41366653130816</v>
      </c>
      <c r="U556">
        <v>1.3922877182495199</v>
      </c>
      <c r="V556">
        <v>1.3750917204859501</v>
      </c>
      <c r="W556">
        <v>1.3606276413288401</v>
      </c>
      <c r="X556">
        <v>1.3510741081814299</v>
      </c>
      <c r="Y556">
        <v>1.3417115110529301</v>
      </c>
      <c r="Z556">
        <v>1.3324937900529501</v>
      </c>
      <c r="AA556">
        <v>1.3201686153951</v>
      </c>
      <c r="AB556">
        <v>1.3112473705427301</v>
      </c>
      <c r="AC556">
        <v>1.3048166251058599</v>
      </c>
      <c r="AD556">
        <v>1.3016785564134099</v>
      </c>
      <c r="AE556">
        <v>1.30179150282717</v>
      </c>
      <c r="AF556">
        <v>1.3025409852732499</v>
      </c>
      <c r="AG556">
        <v>1.3044867057790599</v>
      </c>
      <c r="AH556">
        <v>1.3091316743919701</v>
      </c>
      <c r="AI556">
        <v>1.31351214126126</v>
      </c>
      <c r="AJ556">
        <v>1.3172194422469801</v>
      </c>
      <c r="AK556">
        <v>1.3217780387018701</v>
      </c>
      <c r="AL556">
        <v>1.32657321732255</v>
      </c>
      <c r="AM556">
        <v>1.3316471148536899</v>
      </c>
      <c r="AN556">
        <v>1.33657881018975</v>
      </c>
      <c r="AO556">
        <v>1.34202703960111</v>
      </c>
      <c r="AP556">
        <v>1.3472951865845899</v>
      </c>
      <c r="AQ556">
        <v>1.3517999491041299</v>
      </c>
      <c r="AR556">
        <v>1.35704739395671</v>
      </c>
      <c r="AS556">
        <v>1.3628949700709401</v>
      </c>
    </row>
    <row r="557" spans="1:45" hidden="1" x14ac:dyDescent="0.3">
      <c r="A557" t="s">
        <v>694</v>
      </c>
      <c r="B557" t="s">
        <v>684</v>
      </c>
      <c r="C557" t="s">
        <v>681</v>
      </c>
      <c r="D557" t="s">
        <v>680</v>
      </c>
      <c r="E557" t="s">
        <v>693</v>
      </c>
      <c r="F557">
        <v>89.009667623603406</v>
      </c>
      <c r="G557">
        <v>1.12154273347567</v>
      </c>
      <c r="H557">
        <v>31.9949391149772</v>
      </c>
      <c r="I557">
        <v>752.37540320750099</v>
      </c>
      <c r="J557">
        <v>5.1425820190770598E-2</v>
      </c>
      <c r="K557">
        <v>3.3628834387484902E-2</v>
      </c>
      <c r="L557">
        <v>1.8909863116954199E-2</v>
      </c>
      <c r="M557">
        <v>1.4060448255901701E-2</v>
      </c>
      <c r="N557">
        <v>1.35823080075788E-2</v>
      </c>
      <c r="O557">
        <v>-1.3609943442600801E-2</v>
      </c>
      <c r="P557">
        <v>1.1856756473848399E-2</v>
      </c>
      <c r="Q557">
        <v>3.0293046531227899E-2</v>
      </c>
      <c r="R557">
        <v>4.4061673922486E-2</v>
      </c>
      <c r="S557">
        <v>5.5647969405167398E-2</v>
      </c>
      <c r="T557">
        <v>5.9022587871580698E-2</v>
      </c>
      <c r="U557">
        <v>6.2551810608186001E-2</v>
      </c>
      <c r="V557">
        <v>6.62190221196019E-2</v>
      </c>
      <c r="W557">
        <v>6.9952228245463696E-2</v>
      </c>
      <c r="X557">
        <v>7.4394492187172298E-2</v>
      </c>
      <c r="Y557">
        <v>6.8720001790756102E-2</v>
      </c>
      <c r="Z557">
        <v>6.7347093323846502E-2</v>
      </c>
      <c r="AA557">
        <v>6.7318132520093499E-2</v>
      </c>
      <c r="AB557">
        <v>6.5128481437052493E-2</v>
      </c>
      <c r="AC557">
        <v>6.3374849202722197E-2</v>
      </c>
      <c r="AD557">
        <v>6.1981576619313902E-2</v>
      </c>
      <c r="AE557">
        <v>6.0469200161631903E-2</v>
      </c>
      <c r="AF557">
        <v>5.8861785583228299E-2</v>
      </c>
      <c r="AG557">
        <v>5.7847323594056498E-2</v>
      </c>
      <c r="AH557">
        <v>5.6960130069898397E-2</v>
      </c>
      <c r="AI557">
        <v>5.5727443338490397E-2</v>
      </c>
      <c r="AJ557">
        <v>5.4394973318943697E-2</v>
      </c>
      <c r="AK557">
        <v>5.3132059922864003E-2</v>
      </c>
      <c r="AL557">
        <v>5.1950517693718203E-2</v>
      </c>
      <c r="AM557">
        <v>5.0797155641726002E-2</v>
      </c>
      <c r="AN557">
        <v>4.9323090595466197E-2</v>
      </c>
      <c r="AO557">
        <v>4.7841814093143899E-2</v>
      </c>
      <c r="AP557">
        <v>4.6552902383687499E-2</v>
      </c>
      <c r="AQ557">
        <v>4.5486395368289897E-2</v>
      </c>
      <c r="AR557">
        <v>4.4545925535026697E-2</v>
      </c>
      <c r="AS557">
        <v>4.3820164377575403E-2</v>
      </c>
    </row>
    <row r="558" spans="1:45" hidden="1" x14ac:dyDescent="0.3">
      <c r="A558" t="s">
        <v>694</v>
      </c>
      <c r="B558" t="s">
        <v>682</v>
      </c>
      <c r="C558" t="s">
        <v>681</v>
      </c>
      <c r="D558" t="s">
        <v>680</v>
      </c>
      <c r="E558" t="s">
        <v>693</v>
      </c>
      <c r="F558">
        <v>89.009667623603406</v>
      </c>
      <c r="G558">
        <v>1.12154273347567</v>
      </c>
      <c r="H558">
        <v>31.9949391149772</v>
      </c>
      <c r="I558">
        <v>752.37540320750099</v>
      </c>
      <c r="J558">
        <v>5.1409447035182701E-2</v>
      </c>
      <c r="K558">
        <v>3.3598385050963103E-2</v>
      </c>
      <c r="L558">
        <v>1.8845583018566901E-2</v>
      </c>
      <c r="M558">
        <v>1.3920749642711099E-2</v>
      </c>
      <c r="N558">
        <v>1.3406297445361801E-2</v>
      </c>
      <c r="O558">
        <v>-1.5363255464854401E-2</v>
      </c>
      <c r="P558">
        <v>7.8001449818057896E-3</v>
      </c>
      <c r="Q558">
        <v>2.36763156270259E-2</v>
      </c>
      <c r="R558">
        <v>3.4808410238299101E-2</v>
      </c>
      <c r="S558">
        <v>4.3651475906262303E-2</v>
      </c>
      <c r="T558">
        <v>4.54258887403182E-2</v>
      </c>
      <c r="U558">
        <v>4.73320062880489E-2</v>
      </c>
      <c r="V558">
        <v>4.9342975899558501E-2</v>
      </c>
      <c r="W558">
        <v>5.1410025930948601E-2</v>
      </c>
      <c r="X558">
        <v>5.4073479504253702E-2</v>
      </c>
      <c r="Y558">
        <v>4.8850383988906898E-2</v>
      </c>
      <c r="Z558">
        <v>4.7146308608152603E-2</v>
      </c>
      <c r="AA558">
        <v>4.6555707730182902E-2</v>
      </c>
      <c r="AB558">
        <v>4.47131949433065E-2</v>
      </c>
      <c r="AC558">
        <v>4.33396643042403E-2</v>
      </c>
      <c r="AD558">
        <v>4.2335138916476098E-2</v>
      </c>
      <c r="AE558">
        <v>4.1409328561176399E-2</v>
      </c>
      <c r="AF558">
        <v>4.0501916036538098E-2</v>
      </c>
      <c r="AG558">
        <v>4.01782225323353E-2</v>
      </c>
      <c r="AH558">
        <v>3.9929540402362997E-2</v>
      </c>
      <c r="AI558">
        <v>3.9453182954364903E-2</v>
      </c>
      <c r="AJ558">
        <v>3.8907956457522402E-2</v>
      </c>
      <c r="AK558">
        <v>3.8405880867414997E-2</v>
      </c>
      <c r="AL558">
        <v>3.7959986995815001E-2</v>
      </c>
      <c r="AM558">
        <v>3.7535241989920698E-2</v>
      </c>
      <c r="AN558">
        <v>3.6820680277712597E-2</v>
      </c>
      <c r="AO558">
        <v>3.6064763771451097E-2</v>
      </c>
      <c r="AP558">
        <v>3.5447859833023503E-2</v>
      </c>
      <c r="AQ558">
        <v>3.4978341383780601E-2</v>
      </c>
      <c r="AR558">
        <v>3.4612851445909899E-2</v>
      </c>
      <c r="AS558">
        <v>3.44106557574703E-2</v>
      </c>
    </row>
    <row r="559" spans="1:45" hidden="1" x14ac:dyDescent="0.3">
      <c r="A559" t="s">
        <v>692</v>
      </c>
      <c r="B559" t="s">
        <v>686</v>
      </c>
      <c r="C559" t="s">
        <v>681</v>
      </c>
      <c r="D559" t="s">
        <v>680</v>
      </c>
      <c r="E559" t="s">
        <v>20</v>
      </c>
      <c r="F559">
        <v>999</v>
      </c>
      <c r="G559">
        <v>0</v>
      </c>
      <c r="H559">
        <v>-4.6996199494887199</v>
      </c>
      <c r="I559">
        <v>-115.60559289712801</v>
      </c>
      <c r="J559">
        <v>0.29252240058239998</v>
      </c>
      <c r="K559">
        <v>0.2357745227643</v>
      </c>
      <c r="L559">
        <v>0.220463699633584</v>
      </c>
      <c r="M559">
        <v>0.21426530046918099</v>
      </c>
      <c r="N559">
        <v>0.20395943862440899</v>
      </c>
      <c r="O559">
        <v>0.16530925211797901</v>
      </c>
      <c r="P559">
        <v>0.13927337911115201</v>
      </c>
      <c r="Q559">
        <v>0.12701126620174999</v>
      </c>
      <c r="R559">
        <v>0.12485517212637499</v>
      </c>
      <c r="S559">
        <v>0.124160837657768</v>
      </c>
      <c r="T559">
        <v>0.123471067443955</v>
      </c>
      <c r="U559">
        <v>0.12289303207885</v>
      </c>
      <c r="V559">
        <v>0.12279746535984599</v>
      </c>
      <c r="W559">
        <v>0.123098830170959</v>
      </c>
      <c r="X559">
        <v>0.123816964570773</v>
      </c>
      <c r="Y559">
        <v>0.12333776744617</v>
      </c>
      <c r="Z559">
        <v>0.122798526772471</v>
      </c>
      <c r="AA559">
        <v>0.12195342214308</v>
      </c>
      <c r="AB559">
        <v>0.12170596582648401</v>
      </c>
      <c r="AC559">
        <v>0.12156353899356601</v>
      </c>
      <c r="AD559">
        <v>0.121877837521758</v>
      </c>
      <c r="AE559">
        <v>0.122390560251848</v>
      </c>
      <c r="AF559">
        <v>0.122832152402231</v>
      </c>
      <c r="AG559">
        <v>0.12342880697473101</v>
      </c>
      <c r="AH559">
        <v>0.124240991170095</v>
      </c>
      <c r="AI559">
        <v>0.123671681533584</v>
      </c>
      <c r="AJ559">
        <v>0.12320293392849301</v>
      </c>
      <c r="AK559">
        <v>0.12293382268903499</v>
      </c>
      <c r="AL559">
        <v>0.122801642520661</v>
      </c>
      <c r="AM559">
        <v>0.12279502765578899</v>
      </c>
      <c r="AN559">
        <v>0.12282929165741401</v>
      </c>
      <c r="AO559">
        <v>0.122918519925957</v>
      </c>
      <c r="AP559">
        <v>0.123123077689247</v>
      </c>
      <c r="AQ559">
        <v>0.123274726014655</v>
      </c>
      <c r="AR559">
        <v>0.123561528554043</v>
      </c>
      <c r="AS559">
        <v>0.123867305037722</v>
      </c>
    </row>
    <row r="560" spans="1:45" hidden="1" x14ac:dyDescent="0.3">
      <c r="A560" t="s">
        <v>692</v>
      </c>
      <c r="B560" t="s">
        <v>685</v>
      </c>
      <c r="C560" t="s">
        <v>681</v>
      </c>
      <c r="D560" t="s">
        <v>680</v>
      </c>
      <c r="E560" t="s">
        <v>20</v>
      </c>
      <c r="F560">
        <v>999</v>
      </c>
      <c r="G560">
        <v>0</v>
      </c>
      <c r="H560">
        <v>-4.6996199494887199</v>
      </c>
      <c r="I560">
        <v>-115.60559289712801</v>
      </c>
      <c r="J560">
        <v>0.29252240058239998</v>
      </c>
      <c r="K560">
        <v>0.2357745227643</v>
      </c>
      <c r="L560">
        <v>0.220463699633584</v>
      </c>
      <c r="M560">
        <v>0.21426530046918099</v>
      </c>
      <c r="N560">
        <v>0.20395943862440899</v>
      </c>
      <c r="O560">
        <v>0.11270248861406899</v>
      </c>
      <c r="P560">
        <v>0.101140746440417</v>
      </c>
      <c r="Q560">
        <v>0.100642730784176</v>
      </c>
      <c r="R560">
        <v>9.8074673863348796E-2</v>
      </c>
      <c r="S560">
        <v>9.3963166423527394E-2</v>
      </c>
      <c r="T560">
        <v>8.8703705105573294E-2</v>
      </c>
      <c r="U560">
        <v>8.3772231393008295E-2</v>
      </c>
      <c r="V560">
        <v>7.94186781850824E-2</v>
      </c>
      <c r="W560">
        <v>7.54854487338706E-2</v>
      </c>
      <c r="X560">
        <v>7.3064244107945694E-2</v>
      </c>
      <c r="Y560">
        <v>7.2356487704279396E-2</v>
      </c>
      <c r="Z560">
        <v>7.1541081514170698E-2</v>
      </c>
      <c r="AA560">
        <v>7.0498165994636902E-2</v>
      </c>
      <c r="AB560">
        <v>6.9725276563918304E-2</v>
      </c>
      <c r="AC560">
        <v>6.8900951429678906E-2</v>
      </c>
      <c r="AD560">
        <v>6.8311556730870707E-2</v>
      </c>
      <c r="AE560">
        <v>6.7756466204652296E-2</v>
      </c>
      <c r="AF560">
        <v>6.7212948870949099E-2</v>
      </c>
      <c r="AG560">
        <v>6.70283244321183E-2</v>
      </c>
      <c r="AH560">
        <v>6.6902664703036005E-2</v>
      </c>
      <c r="AI560">
        <v>6.5805164883324899E-2</v>
      </c>
      <c r="AJ560">
        <v>6.5543767337215494E-2</v>
      </c>
      <c r="AK560">
        <v>6.5347733465227403E-2</v>
      </c>
      <c r="AL560">
        <v>6.52172861628557E-2</v>
      </c>
      <c r="AM560">
        <v>6.5146667770584102E-2</v>
      </c>
      <c r="AN560">
        <v>6.5093391630982406E-2</v>
      </c>
      <c r="AO560">
        <v>6.50673813262964E-2</v>
      </c>
      <c r="AP560">
        <v>6.5105148565544904E-2</v>
      </c>
      <c r="AQ560">
        <v>6.5119673982795695E-2</v>
      </c>
      <c r="AR560">
        <v>6.5213160222680505E-2</v>
      </c>
      <c r="AS560">
        <v>6.5322785150810997E-2</v>
      </c>
    </row>
    <row r="561" spans="1:45" hidden="1" x14ac:dyDescent="0.3">
      <c r="A561" t="s">
        <v>692</v>
      </c>
      <c r="B561" t="s">
        <v>684</v>
      </c>
      <c r="C561" t="s">
        <v>681</v>
      </c>
      <c r="D561" t="s">
        <v>680</v>
      </c>
      <c r="E561" t="s">
        <v>20</v>
      </c>
      <c r="F561">
        <v>999</v>
      </c>
      <c r="G561">
        <v>0</v>
      </c>
      <c r="H561">
        <v>-6.2911099511999504</v>
      </c>
      <c r="I561">
        <v>-154.75453413389599</v>
      </c>
      <c r="J561">
        <v>4.9396265157350003E-2</v>
      </c>
      <c r="K561">
        <v>2.8245185990360001E-2</v>
      </c>
      <c r="L561">
        <v>2.8259839356947002E-2</v>
      </c>
      <c r="M561">
        <v>2.8516324977480498E-2</v>
      </c>
      <c r="N561">
        <v>2.7949001620808E-2</v>
      </c>
      <c r="O561">
        <v>0.10205221449631501</v>
      </c>
      <c r="P561">
        <v>8.3739136589844998E-2</v>
      </c>
      <c r="Q561">
        <v>7.7164935777256402E-2</v>
      </c>
      <c r="R561">
        <v>7.9393330361427802E-2</v>
      </c>
      <c r="S561">
        <v>8.1557184368093893E-2</v>
      </c>
      <c r="T561">
        <v>8.2291626693919401E-2</v>
      </c>
      <c r="U561">
        <v>8.3875041792619703E-2</v>
      </c>
      <c r="V561">
        <v>8.5510521158282199E-2</v>
      </c>
      <c r="W561">
        <v>8.6194949228592097E-2</v>
      </c>
      <c r="X561">
        <v>8.8125836508821595E-2</v>
      </c>
      <c r="Y561">
        <v>8.8632195088244395E-2</v>
      </c>
      <c r="Z561">
        <v>8.8304442594889801E-2</v>
      </c>
      <c r="AA561">
        <v>8.7778181712355297E-2</v>
      </c>
      <c r="AB561">
        <v>8.7719391550127701E-2</v>
      </c>
      <c r="AC561">
        <v>8.7761231745279E-2</v>
      </c>
      <c r="AD561">
        <v>8.81231504855816E-2</v>
      </c>
      <c r="AE561">
        <v>8.8640536439314105E-2</v>
      </c>
      <c r="AF561">
        <v>8.9133335957156695E-2</v>
      </c>
      <c r="AG561">
        <v>8.9873886895531593E-2</v>
      </c>
      <c r="AH561">
        <v>9.0670290438821702E-2</v>
      </c>
      <c r="AI561">
        <v>9.0798863047535705E-2</v>
      </c>
      <c r="AJ561">
        <v>9.0680959886801707E-2</v>
      </c>
      <c r="AK561">
        <v>9.0704642361635099E-2</v>
      </c>
      <c r="AL561">
        <v>9.0867215986125904E-2</v>
      </c>
      <c r="AM561">
        <v>9.1247308427112594E-2</v>
      </c>
      <c r="AN561">
        <v>9.1633236863267006E-2</v>
      </c>
      <c r="AO561">
        <v>9.1998205637443001E-2</v>
      </c>
      <c r="AP561">
        <v>9.2364113433658607E-2</v>
      </c>
      <c r="AQ561">
        <v>9.2805199834512603E-2</v>
      </c>
      <c r="AR561">
        <v>9.3310078224390205E-2</v>
      </c>
      <c r="AS561">
        <v>9.3795642063605897E-2</v>
      </c>
    </row>
    <row r="562" spans="1:45" hidden="1" x14ac:dyDescent="0.3">
      <c r="A562" t="s">
        <v>692</v>
      </c>
      <c r="B562" t="s">
        <v>682</v>
      </c>
      <c r="C562" t="s">
        <v>681</v>
      </c>
      <c r="D562" t="s">
        <v>680</v>
      </c>
      <c r="E562" t="s">
        <v>20</v>
      </c>
      <c r="F562">
        <v>999</v>
      </c>
      <c r="G562">
        <v>0</v>
      </c>
      <c r="H562">
        <v>-6.2911099511999504</v>
      </c>
      <c r="I562">
        <v>-154.75453413389599</v>
      </c>
      <c r="J562">
        <v>4.9396265157350003E-2</v>
      </c>
      <c r="K562">
        <v>2.8245185990360001E-2</v>
      </c>
      <c r="L562">
        <v>2.8259839356947002E-2</v>
      </c>
      <c r="M562">
        <v>2.8516324977480498E-2</v>
      </c>
      <c r="N562">
        <v>2.7949001620808E-2</v>
      </c>
      <c r="O562">
        <v>7.6402880844093898E-2</v>
      </c>
      <c r="P562">
        <v>6.4280662013148498E-2</v>
      </c>
      <c r="Q562">
        <v>6.4070305741698294E-2</v>
      </c>
      <c r="R562">
        <v>6.2714849265223596E-2</v>
      </c>
      <c r="S562">
        <v>6.09805599518378E-2</v>
      </c>
      <c r="T562">
        <v>5.8265536939892601E-2</v>
      </c>
      <c r="U562">
        <v>5.6182477620700902E-2</v>
      </c>
      <c r="V562">
        <v>5.4190322029663299E-2</v>
      </c>
      <c r="W562">
        <v>5.1719203461115401E-2</v>
      </c>
      <c r="X562">
        <v>5.0700229637428998E-2</v>
      </c>
      <c r="Y562">
        <v>5.0590664723716303E-2</v>
      </c>
      <c r="Z562">
        <v>5.0153569269035699E-2</v>
      </c>
      <c r="AA562">
        <v>4.9546800168690501E-2</v>
      </c>
      <c r="AB562">
        <v>4.91237386671807E-2</v>
      </c>
      <c r="AC562">
        <v>4.8634535411346103E-2</v>
      </c>
      <c r="AD562">
        <v>4.8281433174750997E-2</v>
      </c>
      <c r="AE562">
        <v>4.7936292484046697E-2</v>
      </c>
      <c r="AF562">
        <v>4.7628013195138902E-2</v>
      </c>
      <c r="AG562">
        <v>4.7748810371268102E-2</v>
      </c>
      <c r="AH562">
        <v>4.7810655181100198E-2</v>
      </c>
      <c r="AI562">
        <v>4.7571095902072202E-2</v>
      </c>
      <c r="AJ562">
        <v>4.7521555205025601E-2</v>
      </c>
      <c r="AK562">
        <v>4.7509039279778002E-2</v>
      </c>
      <c r="AL562">
        <v>4.75752986041207E-2</v>
      </c>
      <c r="AM562">
        <v>4.7770131581497802E-2</v>
      </c>
      <c r="AN562">
        <v>4.7958787798469897E-2</v>
      </c>
      <c r="AO562">
        <v>4.8124536530898397E-2</v>
      </c>
      <c r="AP562">
        <v>4.8280203875553901E-2</v>
      </c>
      <c r="AQ562">
        <v>4.8453380090773303E-2</v>
      </c>
      <c r="AR562">
        <v>4.8667454722235701E-2</v>
      </c>
      <c r="AS562">
        <v>4.8877028437965299E-2</v>
      </c>
    </row>
    <row r="563" spans="1:45" hidden="1" x14ac:dyDescent="0.3">
      <c r="A563" t="s">
        <v>691</v>
      </c>
      <c r="B563" t="s">
        <v>686</v>
      </c>
      <c r="C563" t="s">
        <v>681</v>
      </c>
      <c r="D563" t="s">
        <v>680</v>
      </c>
      <c r="E563" t="s">
        <v>679</v>
      </c>
      <c r="F563">
        <v>6.0516459639689204</v>
      </c>
      <c r="G563">
        <v>16.478044169749101</v>
      </c>
      <c r="H563">
        <v>18.367047128762199</v>
      </c>
      <c r="I563">
        <v>398.25500323511699</v>
      </c>
      <c r="J563">
        <v>0.51981801587717102</v>
      </c>
      <c r="K563">
        <v>0.46361518321400402</v>
      </c>
      <c r="L563">
        <v>0.41663261102867</v>
      </c>
      <c r="M563">
        <v>0.54772301443620497</v>
      </c>
      <c r="N563">
        <v>0.503133250569609</v>
      </c>
      <c r="O563">
        <v>0.47958286570291903</v>
      </c>
      <c r="P563">
        <v>0.46783809670526499</v>
      </c>
      <c r="Q563">
        <v>0.45617561838144899</v>
      </c>
      <c r="R563">
        <v>0.44489332916831897</v>
      </c>
      <c r="S563">
        <v>0.434643486483407</v>
      </c>
      <c r="T563">
        <v>0.42358182519971699</v>
      </c>
      <c r="U563">
        <v>0.41318970651362702</v>
      </c>
      <c r="V563">
        <v>0.40419028508578297</v>
      </c>
      <c r="W563">
        <v>0.39592517746407002</v>
      </c>
      <c r="X563">
        <v>0.38889868841706399</v>
      </c>
      <c r="Y563">
        <v>0.38177645240113001</v>
      </c>
      <c r="Z563">
        <v>0.37468300821670603</v>
      </c>
      <c r="AA563">
        <v>0.36706625258884901</v>
      </c>
      <c r="AB563">
        <v>0.36027919873942499</v>
      </c>
      <c r="AC563">
        <v>0.353777777247684</v>
      </c>
      <c r="AD563">
        <v>0.34785971951594002</v>
      </c>
      <c r="AE563">
        <v>0.34220836067098798</v>
      </c>
      <c r="AF563">
        <v>0.33655245321592803</v>
      </c>
      <c r="AG563">
        <v>0.33107759282412103</v>
      </c>
      <c r="AH563">
        <v>0.32592119209269399</v>
      </c>
      <c r="AI563">
        <v>0.32096721634701803</v>
      </c>
      <c r="AJ563">
        <v>0.31579484761259202</v>
      </c>
      <c r="AK563">
        <v>0.31093292404303202</v>
      </c>
      <c r="AL563">
        <v>0.306124367699383</v>
      </c>
      <c r="AM563">
        <v>0.30136251422034399</v>
      </c>
      <c r="AN563">
        <v>0.29657797562687599</v>
      </c>
      <c r="AO563">
        <v>0.29188908632335497</v>
      </c>
      <c r="AP563">
        <v>0.28717188776438701</v>
      </c>
      <c r="AQ563">
        <v>0.28242051778544902</v>
      </c>
      <c r="AR563">
        <v>0.27822795797588301</v>
      </c>
      <c r="AS563">
        <v>0.27442726314903199</v>
      </c>
    </row>
    <row r="564" spans="1:45" hidden="1" x14ac:dyDescent="0.3">
      <c r="A564" t="s">
        <v>691</v>
      </c>
      <c r="B564" t="s">
        <v>685</v>
      </c>
      <c r="C564" t="s">
        <v>681</v>
      </c>
      <c r="D564" t="s">
        <v>680</v>
      </c>
      <c r="E564" t="s">
        <v>679</v>
      </c>
      <c r="F564">
        <v>6.0516459639689204</v>
      </c>
      <c r="G564">
        <v>16.478044169749101</v>
      </c>
      <c r="H564">
        <v>18.367047128762199</v>
      </c>
      <c r="I564">
        <v>398.25500323511699</v>
      </c>
      <c r="J564">
        <v>0.51981801587717102</v>
      </c>
      <c r="K564">
        <v>0.46361518321400402</v>
      </c>
      <c r="L564">
        <v>0.41161203819792902</v>
      </c>
      <c r="M564">
        <v>0.53465450092989097</v>
      </c>
      <c r="N564">
        <v>0.485186958078068</v>
      </c>
      <c r="O564">
        <v>0.456813030291362</v>
      </c>
      <c r="P564">
        <v>0.440101019331538</v>
      </c>
      <c r="Q564">
        <v>0.42374284465012102</v>
      </c>
      <c r="R564">
        <v>0.40800879157597603</v>
      </c>
      <c r="S564">
        <v>0.393475869064002</v>
      </c>
      <c r="T564">
        <v>0.37845969508653499</v>
      </c>
      <c r="U564">
        <v>0.36429509581154501</v>
      </c>
      <c r="V564">
        <v>0.351587391149079</v>
      </c>
      <c r="W564">
        <v>0.33972231675088799</v>
      </c>
      <c r="X564">
        <v>0.32910061886643199</v>
      </c>
      <c r="Y564">
        <v>0.31856498359691598</v>
      </c>
      <c r="Z564">
        <v>0.30822125101820902</v>
      </c>
      <c r="AA564">
        <v>0.29762075059276799</v>
      </c>
      <c r="AB564">
        <v>0.28786307979280101</v>
      </c>
      <c r="AC564">
        <v>0.27849055753635199</v>
      </c>
      <c r="AD564">
        <v>0.26972391978409399</v>
      </c>
      <c r="AE564">
        <v>0.26130070267882299</v>
      </c>
      <c r="AF564">
        <v>0.25300754387624702</v>
      </c>
      <c r="AG564">
        <v>0.244981936644142</v>
      </c>
      <c r="AH564">
        <v>0.237317522979034</v>
      </c>
      <c r="AI564">
        <v>0.22991990082935801</v>
      </c>
      <c r="AJ564">
        <v>0.22248542181189601</v>
      </c>
      <c r="AK564">
        <v>0.21538815772513201</v>
      </c>
      <c r="AL564">
        <v>0.20844206406673199</v>
      </c>
      <c r="AM564">
        <v>0.201640791034575</v>
      </c>
      <c r="AN564">
        <v>0.19493707616689401</v>
      </c>
      <c r="AO564">
        <v>0.18840810545727299</v>
      </c>
      <c r="AP564">
        <v>0.18197194154163501</v>
      </c>
      <c r="AQ564">
        <v>0.17562594191796799</v>
      </c>
      <c r="AR564">
        <v>0.16973306584518699</v>
      </c>
      <c r="AS564">
        <v>0.16417364230783699</v>
      </c>
    </row>
    <row r="565" spans="1:45" hidden="1" x14ac:dyDescent="0.3">
      <c r="A565" t="s">
        <v>691</v>
      </c>
      <c r="B565" t="s">
        <v>684</v>
      </c>
      <c r="C565" t="s">
        <v>681</v>
      </c>
      <c r="D565" t="s">
        <v>680</v>
      </c>
      <c r="E565" t="s">
        <v>679</v>
      </c>
      <c r="F565">
        <v>6.0516459639689204</v>
      </c>
      <c r="G565">
        <v>16.478044169749101</v>
      </c>
      <c r="H565">
        <v>29.888677617858999</v>
      </c>
      <c r="I565">
        <v>636.07110839049903</v>
      </c>
      <c r="J565">
        <v>0.12464016413536801</v>
      </c>
      <c r="K565">
        <v>0.10815780301316801</v>
      </c>
      <c r="L565">
        <v>0.28887008670546499</v>
      </c>
      <c r="M565">
        <v>0.40691151814593901</v>
      </c>
      <c r="N565">
        <v>0.380836387678056</v>
      </c>
      <c r="O565">
        <v>0.35558921109244701</v>
      </c>
      <c r="P565">
        <v>0.33673559982864798</v>
      </c>
      <c r="Q565">
        <v>0.32004095021753098</v>
      </c>
      <c r="R565">
        <v>0.30677097031882899</v>
      </c>
      <c r="S565">
        <v>0.29503834113250299</v>
      </c>
      <c r="T565">
        <v>0.28469712802631603</v>
      </c>
      <c r="U565">
        <v>0.274455388036006</v>
      </c>
      <c r="V565">
        <v>0.265046190994214</v>
      </c>
      <c r="W565">
        <v>0.25600368922017902</v>
      </c>
      <c r="X565">
        <v>0.247673303889833</v>
      </c>
      <c r="Y565">
        <v>0.240281070194583</v>
      </c>
      <c r="Z565">
        <v>0.23083042798505399</v>
      </c>
      <c r="AA565">
        <v>0.2205693255102</v>
      </c>
      <c r="AB565">
        <v>0.210944520262518</v>
      </c>
      <c r="AC565">
        <v>0.20136964447024999</v>
      </c>
      <c r="AD565">
        <v>0.19162213893796001</v>
      </c>
      <c r="AE565">
        <v>0.18198233592812099</v>
      </c>
      <c r="AF565">
        <v>0.172074087770728</v>
      </c>
      <c r="AG565">
        <v>0.16032415057268101</v>
      </c>
      <c r="AH565">
        <v>0.15025009149690999</v>
      </c>
      <c r="AI565">
        <v>0.140641189753798</v>
      </c>
      <c r="AJ565">
        <v>0.13155881478116899</v>
      </c>
      <c r="AK565">
        <v>0.123212393787458</v>
      </c>
      <c r="AL565">
        <v>0.115488040817374</v>
      </c>
      <c r="AM565">
        <v>0.108658393585643</v>
      </c>
      <c r="AN565">
        <v>0.102447121534728</v>
      </c>
      <c r="AO565">
        <v>9.7054572088916394E-2</v>
      </c>
      <c r="AP565">
        <v>9.2038437969358095E-2</v>
      </c>
      <c r="AQ565">
        <v>8.7475263837160797E-2</v>
      </c>
      <c r="AR565">
        <v>8.38868210744034E-2</v>
      </c>
      <c r="AS565">
        <v>8.0700194983161E-2</v>
      </c>
    </row>
    <row r="566" spans="1:45" hidden="1" x14ac:dyDescent="0.3">
      <c r="A566" t="s">
        <v>691</v>
      </c>
      <c r="B566" t="s">
        <v>682</v>
      </c>
      <c r="C566" t="s">
        <v>681</v>
      </c>
      <c r="D566" t="s">
        <v>680</v>
      </c>
      <c r="E566" t="s">
        <v>679</v>
      </c>
      <c r="F566">
        <v>6.0516459639689204</v>
      </c>
      <c r="G566">
        <v>16.478044169749101</v>
      </c>
      <c r="H566">
        <v>29.888677617858999</v>
      </c>
      <c r="I566">
        <v>636.07110839049903</v>
      </c>
      <c r="J566">
        <v>0.12457486690297601</v>
      </c>
      <c r="K566">
        <v>0.108038104236273</v>
      </c>
      <c r="L566">
        <v>0.28431293196956903</v>
      </c>
      <c r="M566">
        <v>0.39512704140462201</v>
      </c>
      <c r="N566">
        <v>0.36467575038015698</v>
      </c>
      <c r="O566">
        <v>0.33488715625142201</v>
      </c>
      <c r="P566">
        <v>0.31177417007680402</v>
      </c>
      <c r="Q566">
        <v>0.29115433722021999</v>
      </c>
      <c r="R566">
        <v>0.27420662835028398</v>
      </c>
      <c r="S566">
        <v>0.259010684480322</v>
      </c>
      <c r="T566">
        <v>0.24551229429326099</v>
      </c>
      <c r="U566">
        <v>0.23236347622603201</v>
      </c>
      <c r="V566">
        <v>0.22019539714720299</v>
      </c>
      <c r="W566">
        <v>0.20859724157284901</v>
      </c>
      <c r="X566">
        <v>0.197834532273377</v>
      </c>
      <c r="Y566">
        <v>0.188107160899041</v>
      </c>
      <c r="Z566">
        <v>0.17675715897170999</v>
      </c>
      <c r="AA566">
        <v>0.16502585261074601</v>
      </c>
      <c r="AB566">
        <v>0.154100024897981</v>
      </c>
      <c r="AC566">
        <v>0.143524057691653</v>
      </c>
      <c r="AD566">
        <v>0.13309311394648099</v>
      </c>
      <c r="AE566">
        <v>0.12306253022637401</v>
      </c>
      <c r="AF566">
        <v>0.113144892871009</v>
      </c>
      <c r="AG566">
        <v>0.102416791410975</v>
      </c>
      <c r="AH566">
        <v>9.3234018394113202E-2</v>
      </c>
      <c r="AI566">
        <v>8.46912291553093E-2</v>
      </c>
      <c r="AJ566">
        <v>7.6852358140982097E-2</v>
      </c>
      <c r="AK566">
        <v>6.9794808007941606E-2</v>
      </c>
      <c r="AL566">
        <v>6.3418061567561398E-2</v>
      </c>
      <c r="AM566">
        <v>5.7906738716238797E-2</v>
      </c>
      <c r="AN566">
        <v>5.3003103870430703E-2</v>
      </c>
      <c r="AO566">
        <v>4.8816103981140301E-2</v>
      </c>
      <c r="AP566">
        <v>4.5017534930226803E-2</v>
      </c>
      <c r="AQ566">
        <v>4.16328370313492E-2</v>
      </c>
      <c r="AR566">
        <v>3.9017565817048197E-2</v>
      </c>
      <c r="AS566">
        <v>3.6731073459923401E-2</v>
      </c>
    </row>
    <row r="567" spans="1:45" hidden="1" x14ac:dyDescent="0.3">
      <c r="A567" t="s">
        <v>690</v>
      </c>
      <c r="B567" t="s">
        <v>686</v>
      </c>
      <c r="C567" t="s">
        <v>681</v>
      </c>
      <c r="D567" t="s">
        <v>680</v>
      </c>
      <c r="E567" t="s">
        <v>679</v>
      </c>
      <c r="F567">
        <v>999</v>
      </c>
      <c r="G567">
        <v>0</v>
      </c>
      <c r="H567">
        <v>999</v>
      </c>
      <c r="I567">
        <v>999</v>
      </c>
      <c r="J567">
        <v>0</v>
      </c>
      <c r="K567">
        <v>6.8071329809672896E-3</v>
      </c>
      <c r="L567">
        <v>1.2645527895056101E-2</v>
      </c>
      <c r="M567">
        <v>2.6395795431408301E-2</v>
      </c>
      <c r="N567">
        <v>3.3895632104495498E-2</v>
      </c>
      <c r="O567">
        <v>4.1800056328535597E-2</v>
      </c>
      <c r="P567">
        <v>5.01741515347656E-2</v>
      </c>
      <c r="Q567">
        <v>5.82414894967999E-2</v>
      </c>
      <c r="R567">
        <v>6.5912701152056802E-2</v>
      </c>
      <c r="S567">
        <v>7.3361062589953896E-2</v>
      </c>
      <c r="T567">
        <v>8.0429020364200202E-2</v>
      </c>
      <c r="U567">
        <v>8.7178413855113795E-2</v>
      </c>
      <c r="V567">
        <v>9.3791333760161494E-2</v>
      </c>
      <c r="W567">
        <v>0.10027506063798</v>
      </c>
      <c r="X567">
        <v>0.106937731091333</v>
      </c>
      <c r="Y567">
        <v>0.113525422509895</v>
      </c>
      <c r="Z567">
        <v>0.119999499946911</v>
      </c>
      <c r="AA567">
        <v>0.12591387814534499</v>
      </c>
      <c r="AB567">
        <v>0.131954158787458</v>
      </c>
      <c r="AC567">
        <v>0.13802927425117001</v>
      </c>
      <c r="AD567">
        <v>0.14422310316075901</v>
      </c>
      <c r="AE567">
        <v>0.15029637415932801</v>
      </c>
      <c r="AF567">
        <v>0.156187866711127</v>
      </c>
      <c r="AG567">
        <v>0.16199778506169199</v>
      </c>
      <c r="AH567">
        <v>0.16776617385697701</v>
      </c>
      <c r="AI567">
        <v>0.173545624039777</v>
      </c>
      <c r="AJ567">
        <v>0.17909929799886001</v>
      </c>
      <c r="AK567">
        <v>0.18469984568521899</v>
      </c>
      <c r="AL567">
        <v>0.19027771812371899</v>
      </c>
      <c r="AM567">
        <v>0.19588578161905501</v>
      </c>
      <c r="AN567">
        <v>0.201484839167305</v>
      </c>
      <c r="AO567">
        <v>0.20711931811016299</v>
      </c>
      <c r="AP567">
        <v>0.212669067571682</v>
      </c>
      <c r="AQ567">
        <v>0.21805471869033399</v>
      </c>
      <c r="AR567">
        <v>0.22306513313100901</v>
      </c>
      <c r="AS567">
        <v>0.22782912334254601</v>
      </c>
    </row>
    <row r="568" spans="1:45" hidden="1" x14ac:dyDescent="0.3">
      <c r="A568" t="s">
        <v>690</v>
      </c>
      <c r="B568" t="s">
        <v>685</v>
      </c>
      <c r="C568" t="s">
        <v>681</v>
      </c>
      <c r="D568" t="s">
        <v>680</v>
      </c>
      <c r="E568" t="s">
        <v>679</v>
      </c>
      <c r="F568">
        <v>999</v>
      </c>
      <c r="G568">
        <v>0</v>
      </c>
      <c r="H568">
        <v>999</v>
      </c>
      <c r="I568">
        <v>999</v>
      </c>
      <c r="J568">
        <v>0</v>
      </c>
      <c r="K568">
        <v>6.8071329809672896E-3</v>
      </c>
      <c r="L568">
        <v>1.2645527895056101E-2</v>
      </c>
      <c r="M568">
        <v>2.6395795431408301E-2</v>
      </c>
      <c r="N568">
        <v>3.3895632104495498E-2</v>
      </c>
      <c r="O568">
        <v>4.1800056328535597E-2</v>
      </c>
      <c r="P568">
        <v>5.01741515347656E-2</v>
      </c>
      <c r="Q568">
        <v>5.8250887821564797E-2</v>
      </c>
      <c r="R568">
        <v>6.5945166640857103E-2</v>
      </c>
      <c r="S568">
        <v>7.3434270894228895E-2</v>
      </c>
      <c r="T568">
        <v>8.0578730892417599E-2</v>
      </c>
      <c r="U568">
        <v>8.7448304110062394E-2</v>
      </c>
      <c r="V568">
        <v>9.4233355309647396E-2</v>
      </c>
      <c r="W568">
        <v>0.100965205744806</v>
      </c>
      <c r="X568">
        <v>0.107973828721696</v>
      </c>
      <c r="Y568">
        <v>0.114992852725191</v>
      </c>
      <c r="Z568">
        <v>0.12201504348346499</v>
      </c>
      <c r="AA568">
        <v>0.12860823141070701</v>
      </c>
      <c r="AB568">
        <v>0.13544945053570201</v>
      </c>
      <c r="AC568">
        <v>0.14250006171245599</v>
      </c>
      <c r="AD568">
        <v>0.14985836518307</v>
      </c>
      <c r="AE568">
        <v>0.1572583667003</v>
      </c>
      <c r="AF568">
        <v>0.16470535098264</v>
      </c>
      <c r="AG568">
        <v>0.17231384827170301</v>
      </c>
      <c r="AH568">
        <v>0.18009746472735799</v>
      </c>
      <c r="AI568">
        <v>0.188210709315173</v>
      </c>
      <c r="AJ568">
        <v>0.19641039694261</v>
      </c>
      <c r="AK568">
        <v>0.20495177798799299</v>
      </c>
      <c r="AL568">
        <v>0.21389599757937</v>
      </c>
      <c r="AM568">
        <v>0.223325180597406</v>
      </c>
      <c r="AN568">
        <v>0.23314121683709399</v>
      </c>
      <c r="AO568">
        <v>0.24359357869550299</v>
      </c>
      <c r="AP568">
        <v>0.25457712336244398</v>
      </c>
      <c r="AQ568">
        <v>0.26591306452021801</v>
      </c>
      <c r="AR568">
        <v>0.277621252638241</v>
      </c>
      <c r="AS568">
        <v>0.28989765910381998</v>
      </c>
    </row>
    <row r="569" spans="1:45" hidden="1" x14ac:dyDescent="0.3">
      <c r="A569" t="s">
        <v>690</v>
      </c>
      <c r="B569" t="s">
        <v>684</v>
      </c>
      <c r="C569" t="s">
        <v>681</v>
      </c>
      <c r="D569" t="s">
        <v>680</v>
      </c>
      <c r="E569" t="s">
        <v>679</v>
      </c>
      <c r="F569">
        <v>999</v>
      </c>
      <c r="G569">
        <v>0</v>
      </c>
      <c r="H569">
        <v>0</v>
      </c>
      <c r="I569">
        <v>0</v>
      </c>
      <c r="J569">
        <v>0</v>
      </c>
      <c r="K569">
        <v>1.8394455894588299E-3</v>
      </c>
      <c r="L569">
        <v>4.1510071515267997E-3</v>
      </c>
      <c r="M569">
        <v>7.6962993871012297E-3</v>
      </c>
      <c r="N569">
        <v>9.4691500127567999E-3</v>
      </c>
      <c r="O569">
        <v>1.11771967772301E-2</v>
      </c>
      <c r="P569">
        <v>1.2962134697700601E-2</v>
      </c>
      <c r="Q569">
        <v>1.4669409329452999E-2</v>
      </c>
      <c r="R569">
        <v>1.6318879637417901E-2</v>
      </c>
      <c r="S569">
        <v>1.7926372396772701E-2</v>
      </c>
      <c r="T569">
        <v>1.9493603079993298E-2</v>
      </c>
      <c r="U569">
        <v>2.0971442158344199E-2</v>
      </c>
      <c r="V569">
        <v>2.2419108271660201E-2</v>
      </c>
      <c r="W569">
        <v>2.38240255804016E-2</v>
      </c>
      <c r="X569">
        <v>2.52394785128164E-2</v>
      </c>
      <c r="Y569">
        <v>2.6521318967347999E-2</v>
      </c>
      <c r="Z569">
        <v>2.7396132361986101E-2</v>
      </c>
      <c r="AA569">
        <v>2.79318468167584E-2</v>
      </c>
      <c r="AB569">
        <v>2.8252587226457598E-2</v>
      </c>
      <c r="AC569">
        <v>2.8318121472734801E-2</v>
      </c>
      <c r="AD569">
        <v>2.8204152392396601E-2</v>
      </c>
      <c r="AE569">
        <v>2.7975945120700198E-2</v>
      </c>
      <c r="AF569">
        <v>2.7568714862712999E-2</v>
      </c>
      <c r="AG569">
        <v>2.6852249876505099E-2</v>
      </c>
      <c r="AH569">
        <v>2.60056369797028E-2</v>
      </c>
      <c r="AI569">
        <v>2.5072284074004501E-2</v>
      </c>
      <c r="AJ569">
        <v>2.41698543652023E-2</v>
      </c>
      <c r="AK569">
        <v>2.3277355184020802E-2</v>
      </c>
      <c r="AL569">
        <v>2.22865086719236E-2</v>
      </c>
      <c r="AM569">
        <v>2.11983751199077E-2</v>
      </c>
      <c r="AN569">
        <v>2.09429526368894E-2</v>
      </c>
      <c r="AO569">
        <v>2.1113039844360498E-2</v>
      </c>
      <c r="AP569">
        <v>2.1140173820816101E-2</v>
      </c>
      <c r="AQ569">
        <v>2.1034667558964999E-2</v>
      </c>
      <c r="AR569">
        <v>2.08950518412097E-2</v>
      </c>
      <c r="AS569">
        <v>2.06692307880324E-2</v>
      </c>
    </row>
    <row r="570" spans="1:45" hidden="1" x14ac:dyDescent="0.3">
      <c r="A570" t="s">
        <v>690</v>
      </c>
      <c r="B570" t="s">
        <v>682</v>
      </c>
      <c r="C570" t="s">
        <v>681</v>
      </c>
      <c r="D570" t="s">
        <v>680</v>
      </c>
      <c r="E570" t="s">
        <v>679</v>
      </c>
      <c r="F570">
        <v>999</v>
      </c>
      <c r="G570">
        <v>0</v>
      </c>
      <c r="H570">
        <v>0</v>
      </c>
      <c r="I570">
        <v>0</v>
      </c>
      <c r="J570">
        <v>0</v>
      </c>
      <c r="K570">
        <v>1.82040292627615E-3</v>
      </c>
      <c r="L570">
        <v>4.03352461908446E-3</v>
      </c>
      <c r="M570">
        <v>7.4608651348335399E-3</v>
      </c>
      <c r="N570">
        <v>9.1552773608034894E-3</v>
      </c>
      <c r="O570">
        <v>1.0689945322035301E-2</v>
      </c>
      <c r="P570">
        <v>1.2277958058989199E-2</v>
      </c>
      <c r="Q570">
        <v>1.37857085912755E-2</v>
      </c>
      <c r="R570">
        <v>1.5250913250434499E-2</v>
      </c>
      <c r="S570">
        <v>1.66857686823953E-2</v>
      </c>
      <c r="T570">
        <v>1.8109455536851199E-2</v>
      </c>
      <c r="U570">
        <v>1.94562766478369E-2</v>
      </c>
      <c r="V570">
        <v>2.0787206560400399E-2</v>
      </c>
      <c r="W570">
        <v>2.20954634827185E-2</v>
      </c>
      <c r="X570">
        <v>2.34338837651204E-2</v>
      </c>
      <c r="Y570">
        <v>2.46102584110315E-2</v>
      </c>
      <c r="Z570">
        <v>2.5339236691274102E-2</v>
      </c>
      <c r="AA570">
        <v>2.5740981905319898E-2</v>
      </c>
      <c r="AB570">
        <v>2.5920103588546E-2</v>
      </c>
      <c r="AC570">
        <v>2.58492770699318E-2</v>
      </c>
      <c r="AD570">
        <v>2.5621399550069798E-2</v>
      </c>
      <c r="AE570">
        <v>2.5318236713091399E-2</v>
      </c>
      <c r="AF570">
        <v>2.48709348384137E-2</v>
      </c>
      <c r="AG570">
        <v>2.4126884054887901E-2</v>
      </c>
      <c r="AH570">
        <v>2.3280541929655899E-2</v>
      </c>
      <c r="AI570">
        <v>2.2405061499021401E-2</v>
      </c>
      <c r="AJ570">
        <v>2.1598295981617902E-2</v>
      </c>
      <c r="AK570">
        <v>2.0836499672230401E-2</v>
      </c>
      <c r="AL570">
        <v>2.0036317011990198E-2</v>
      </c>
      <c r="AM570">
        <v>1.9194291567887801E-2</v>
      </c>
      <c r="AN570">
        <v>1.90835608509793E-2</v>
      </c>
      <c r="AO570">
        <v>1.9373002700592501E-2</v>
      </c>
      <c r="AP570">
        <v>1.95772173563406E-2</v>
      </c>
      <c r="AQ570">
        <v>1.96956310260686E-2</v>
      </c>
      <c r="AR570">
        <v>1.9900490398277002E-2</v>
      </c>
      <c r="AS570">
        <v>2.0120979233474199E-2</v>
      </c>
    </row>
    <row r="571" spans="1:45" hidden="1" x14ac:dyDescent="0.3">
      <c r="A571" t="s">
        <v>689</v>
      </c>
      <c r="B571" t="s">
        <v>686</v>
      </c>
      <c r="C571" t="s">
        <v>681</v>
      </c>
      <c r="D571" t="s">
        <v>680</v>
      </c>
      <c r="E571" t="s">
        <v>679</v>
      </c>
      <c r="F571">
        <v>999</v>
      </c>
      <c r="G571">
        <v>0</v>
      </c>
      <c r="H571">
        <v>0</v>
      </c>
      <c r="I571">
        <v>0</v>
      </c>
      <c r="J571">
        <v>0.114207497302575</v>
      </c>
      <c r="K571">
        <v>9.0661566116010298E-2</v>
      </c>
      <c r="L571">
        <v>8.3539863329929506E-2</v>
      </c>
      <c r="M571">
        <v>0.13043111560752099</v>
      </c>
      <c r="N571">
        <v>0.12978333852555299</v>
      </c>
      <c r="O571">
        <v>0.112211855386076</v>
      </c>
      <c r="P571">
        <v>0.109985182894085</v>
      </c>
      <c r="Q571">
        <v>0.108038143301354</v>
      </c>
      <c r="R571">
        <v>0.106387893394727</v>
      </c>
      <c r="S571">
        <v>0.104909407081006</v>
      </c>
      <c r="T571">
        <v>0.103468061725945</v>
      </c>
      <c r="U571">
        <v>0.101968092289107</v>
      </c>
      <c r="V571">
        <v>0.100653679894582</v>
      </c>
      <c r="W571">
        <v>9.9308119789995306E-2</v>
      </c>
      <c r="X571">
        <v>9.8070325856088006E-2</v>
      </c>
      <c r="Y571">
        <v>9.6792706583092802E-2</v>
      </c>
      <c r="Z571">
        <v>9.5488948894907597E-2</v>
      </c>
      <c r="AA571">
        <v>9.4160830754452002E-2</v>
      </c>
      <c r="AB571">
        <v>9.2820819502900095E-2</v>
      </c>
      <c r="AC571">
        <v>9.1498829421029507E-2</v>
      </c>
      <c r="AD571">
        <v>9.0207508246430104E-2</v>
      </c>
      <c r="AE571">
        <v>8.8923408767305701E-2</v>
      </c>
      <c r="AF571">
        <v>8.7603963689941902E-2</v>
      </c>
      <c r="AG571">
        <v>8.6334566034936902E-2</v>
      </c>
      <c r="AH571">
        <v>8.5099507138549899E-2</v>
      </c>
      <c r="AI571">
        <v>8.3821787475759496E-2</v>
      </c>
      <c r="AJ571">
        <v>8.25566606872742E-2</v>
      </c>
      <c r="AK571">
        <v>8.1324683316178301E-2</v>
      </c>
      <c r="AL571">
        <v>8.00782552263158E-2</v>
      </c>
      <c r="AM571">
        <v>7.8861669695410599E-2</v>
      </c>
      <c r="AN571">
        <v>7.7683475215122894E-2</v>
      </c>
      <c r="AO571">
        <v>7.6459299441264297E-2</v>
      </c>
      <c r="AP571">
        <v>7.5223725620038095E-2</v>
      </c>
      <c r="AQ571">
        <v>7.4069936368082206E-2</v>
      </c>
      <c r="AR571">
        <v>7.2821523522906897E-2</v>
      </c>
      <c r="AS571">
        <v>7.1572245339568602E-2</v>
      </c>
    </row>
    <row r="572" spans="1:45" hidden="1" x14ac:dyDescent="0.3">
      <c r="A572" t="s">
        <v>689</v>
      </c>
      <c r="B572" t="s">
        <v>685</v>
      </c>
      <c r="C572" t="s">
        <v>681</v>
      </c>
      <c r="D572" t="s">
        <v>680</v>
      </c>
      <c r="E572" t="s">
        <v>679</v>
      </c>
      <c r="F572">
        <v>999</v>
      </c>
      <c r="G572">
        <v>0</v>
      </c>
      <c r="H572">
        <v>0</v>
      </c>
      <c r="I572">
        <v>0</v>
      </c>
      <c r="J572">
        <v>0.114207497302575</v>
      </c>
      <c r="K572">
        <v>9.0661566116010298E-2</v>
      </c>
      <c r="L572">
        <v>8.3539863329929506E-2</v>
      </c>
      <c r="M572">
        <v>0.12748448274039301</v>
      </c>
      <c r="N572">
        <v>0.123848809957252</v>
      </c>
      <c r="O572">
        <v>0.104511895029854</v>
      </c>
      <c r="P572">
        <v>9.9987461875795602E-2</v>
      </c>
      <c r="Q572">
        <v>9.5870839190431198E-2</v>
      </c>
      <c r="R572">
        <v>9.2176832402917006E-2</v>
      </c>
      <c r="S572">
        <v>8.8769775502446205E-2</v>
      </c>
      <c r="T572">
        <v>8.5504069978242295E-2</v>
      </c>
      <c r="U572">
        <v>8.2332076779035798E-2</v>
      </c>
      <c r="V572">
        <v>7.9448386145479402E-2</v>
      </c>
      <c r="W572">
        <v>7.6661617984097902E-2</v>
      </c>
      <c r="X572">
        <v>7.4056805782572302E-2</v>
      </c>
      <c r="Y572">
        <v>7.1505721011753995E-2</v>
      </c>
      <c r="Z572">
        <v>6.90398875183907E-2</v>
      </c>
      <c r="AA572">
        <v>6.6691530735060303E-2</v>
      </c>
      <c r="AB572">
        <v>6.4430276888439303E-2</v>
      </c>
      <c r="AC572">
        <v>6.2274551008585199E-2</v>
      </c>
      <c r="AD572">
        <v>6.02345744208483E-2</v>
      </c>
      <c r="AE572">
        <v>5.8305796980776099E-2</v>
      </c>
      <c r="AF572">
        <v>5.6458876347610501E-2</v>
      </c>
      <c r="AG572">
        <v>5.4745203603467699E-2</v>
      </c>
      <c r="AH572">
        <v>5.3143160559072297E-2</v>
      </c>
      <c r="AI572">
        <v>5.16028045039644E-2</v>
      </c>
      <c r="AJ572">
        <v>5.0158484536902297E-2</v>
      </c>
      <c r="AK572">
        <v>4.8808839694250802E-2</v>
      </c>
      <c r="AL572">
        <v>4.7528704094802601E-2</v>
      </c>
      <c r="AM572">
        <v>4.63384969874042E-2</v>
      </c>
      <c r="AN572">
        <v>4.5233089337771003E-2</v>
      </c>
      <c r="AO572">
        <v>4.4172090916097403E-2</v>
      </c>
      <c r="AP572">
        <v>4.3171963947163203E-2</v>
      </c>
      <c r="AQ572">
        <v>4.2282743625998001E-2</v>
      </c>
      <c r="AR572">
        <v>4.1436533257683102E-2</v>
      </c>
      <c r="AS572">
        <v>4.0663739361571201E-2</v>
      </c>
    </row>
    <row r="573" spans="1:45" hidden="1" x14ac:dyDescent="0.3">
      <c r="A573" t="s">
        <v>689</v>
      </c>
      <c r="B573" t="s">
        <v>684</v>
      </c>
      <c r="C573" t="s">
        <v>681</v>
      </c>
      <c r="D573" t="s">
        <v>680</v>
      </c>
      <c r="E573" t="s">
        <v>679</v>
      </c>
      <c r="F573">
        <v>999</v>
      </c>
      <c r="G573">
        <v>0</v>
      </c>
      <c r="H573">
        <v>0</v>
      </c>
      <c r="I573">
        <v>0</v>
      </c>
      <c r="J573">
        <v>2.9881707435282099E-2</v>
      </c>
      <c r="K573">
        <v>2.37873613943607E-2</v>
      </c>
      <c r="L573">
        <v>-3.09955794364214E-17</v>
      </c>
      <c r="M573">
        <v>2.1461812388371298E-3</v>
      </c>
      <c r="N573">
        <v>4.3710909357134904E-3</v>
      </c>
      <c r="O573">
        <v>5.4479786065800197E-3</v>
      </c>
      <c r="P573">
        <v>6.7262872490383699E-3</v>
      </c>
      <c r="Q573">
        <v>7.8871354133778805E-3</v>
      </c>
      <c r="R573">
        <v>8.9335668121206697E-3</v>
      </c>
      <c r="S573">
        <v>9.9118328849037499E-3</v>
      </c>
      <c r="T573">
        <v>1.08429012362668E-2</v>
      </c>
      <c r="U573">
        <v>1.1665098916695701E-2</v>
      </c>
      <c r="V573">
        <v>1.2435851988569301E-2</v>
      </c>
      <c r="W573">
        <v>1.3143094283817099E-2</v>
      </c>
      <c r="X573">
        <v>1.3839839167782701E-2</v>
      </c>
      <c r="Y573">
        <v>1.4290039717347099E-2</v>
      </c>
      <c r="Z573">
        <v>1.4834143651299401E-2</v>
      </c>
      <c r="AA573">
        <v>1.53346748204869E-2</v>
      </c>
      <c r="AB573">
        <v>1.59256220905548E-2</v>
      </c>
      <c r="AC573">
        <v>1.6603884178666799E-2</v>
      </c>
      <c r="AD573">
        <v>1.7356281908333701E-2</v>
      </c>
      <c r="AE573">
        <v>1.81144550948413E-2</v>
      </c>
      <c r="AF573">
        <v>1.87803293236521E-2</v>
      </c>
      <c r="AG573">
        <v>1.9466858285601601E-2</v>
      </c>
      <c r="AH573">
        <v>2.0093989725945401E-2</v>
      </c>
      <c r="AI573">
        <v>2.0686565716813401E-2</v>
      </c>
      <c r="AJ573">
        <v>2.1133964233389899E-2</v>
      </c>
      <c r="AK573">
        <v>2.1496580271436801E-2</v>
      </c>
      <c r="AL573">
        <v>2.1794976864103199E-2</v>
      </c>
      <c r="AM573">
        <v>2.2051632076013902E-2</v>
      </c>
      <c r="AN573">
        <v>2.1703030850471702E-2</v>
      </c>
      <c r="AO573">
        <v>2.0924298567990999E-2</v>
      </c>
      <c r="AP573">
        <v>2.0068326193619299E-2</v>
      </c>
      <c r="AQ573">
        <v>1.9190460376649902E-2</v>
      </c>
      <c r="AR573">
        <v>1.8288456220949E-2</v>
      </c>
      <c r="AS573">
        <v>1.7315250392097602E-2</v>
      </c>
    </row>
    <row r="574" spans="1:45" hidden="1" x14ac:dyDescent="0.3">
      <c r="A574" t="s">
        <v>689</v>
      </c>
      <c r="B574" t="s">
        <v>682</v>
      </c>
      <c r="C574" t="s">
        <v>681</v>
      </c>
      <c r="D574" t="s">
        <v>680</v>
      </c>
      <c r="E574" t="s">
        <v>679</v>
      </c>
      <c r="F574">
        <v>999</v>
      </c>
      <c r="G574">
        <v>0</v>
      </c>
      <c r="H574">
        <v>0</v>
      </c>
      <c r="I574">
        <v>0</v>
      </c>
      <c r="J574">
        <v>2.9878967466656501E-2</v>
      </c>
      <c r="K574">
        <v>2.3786504886246802E-2</v>
      </c>
      <c r="L574">
        <v>-3.09955794364214E-17</v>
      </c>
      <c r="M574">
        <v>1.7201649048524501E-3</v>
      </c>
      <c r="N574">
        <v>3.0799400564342598E-3</v>
      </c>
      <c r="O574">
        <v>3.4800964105215701E-3</v>
      </c>
      <c r="P574">
        <v>3.9788661300961502E-3</v>
      </c>
      <c r="Q574">
        <v>4.3849447658876996E-3</v>
      </c>
      <c r="R574">
        <v>4.7121677935487299E-3</v>
      </c>
      <c r="S574">
        <v>4.9949224328110099E-3</v>
      </c>
      <c r="T574">
        <v>5.24503996301045E-3</v>
      </c>
      <c r="U574">
        <v>5.4400460783825596E-3</v>
      </c>
      <c r="V574">
        <v>5.6079575653880803E-3</v>
      </c>
      <c r="W574">
        <v>5.7445042704830397E-3</v>
      </c>
      <c r="X574">
        <v>5.8858813587917697E-3</v>
      </c>
      <c r="Y574">
        <v>5.9018012895926796E-3</v>
      </c>
      <c r="Z574">
        <v>5.9720079846849504E-3</v>
      </c>
      <c r="AA574">
        <v>6.0165972957926103E-3</v>
      </c>
      <c r="AB574">
        <v>6.0835442381968604E-3</v>
      </c>
      <c r="AC574">
        <v>6.1995167549620299E-3</v>
      </c>
      <c r="AD574">
        <v>6.3640410508999101E-3</v>
      </c>
      <c r="AE574">
        <v>6.5496064813106202E-3</v>
      </c>
      <c r="AF574">
        <v>6.7223726157313E-3</v>
      </c>
      <c r="AG574">
        <v>6.9438637576578598E-3</v>
      </c>
      <c r="AH574">
        <v>7.1608890268918899E-3</v>
      </c>
      <c r="AI574">
        <v>7.3767054222285298E-3</v>
      </c>
      <c r="AJ574">
        <v>7.5543429389610499E-3</v>
      </c>
      <c r="AK574">
        <v>7.7008298622156801E-3</v>
      </c>
      <c r="AL574">
        <v>7.8197522807784692E-3</v>
      </c>
      <c r="AM574">
        <v>7.9283559681884407E-3</v>
      </c>
      <c r="AN574">
        <v>7.9263733451660004E-3</v>
      </c>
      <c r="AO574">
        <v>7.8119613416486296E-3</v>
      </c>
      <c r="AP574">
        <v>7.6607254513064698E-3</v>
      </c>
      <c r="AQ574">
        <v>7.5100823674016902E-3</v>
      </c>
      <c r="AR574">
        <v>7.4035565119788998E-3</v>
      </c>
      <c r="AS574">
        <v>7.2799442790737797E-3</v>
      </c>
    </row>
    <row r="575" spans="1:45" hidden="1" x14ac:dyDescent="0.3">
      <c r="A575" t="s">
        <v>688</v>
      </c>
      <c r="B575" t="s">
        <v>686</v>
      </c>
      <c r="C575" t="s">
        <v>681</v>
      </c>
      <c r="D575" t="s">
        <v>680</v>
      </c>
      <c r="E575" t="s">
        <v>22</v>
      </c>
      <c r="F575">
        <v>-20.444739719914999</v>
      </c>
      <c r="G575">
        <v>90.767075795716295</v>
      </c>
      <c r="H575">
        <v>358.86899411223601</v>
      </c>
      <c r="I575">
        <v>5332.4225694729503</v>
      </c>
      <c r="J575">
        <v>9.9796254819999996E-4</v>
      </c>
      <c r="K575">
        <v>9.7327020069999995E-4</v>
      </c>
      <c r="L575">
        <v>9.2729649700000005E-4</v>
      </c>
      <c r="M575">
        <v>8.6290856840000004E-4</v>
      </c>
      <c r="N575">
        <v>7.9839727289999997E-4</v>
      </c>
      <c r="O575">
        <v>7.4026417680000001E-4</v>
      </c>
      <c r="P575">
        <v>6.9111747450000005E-4</v>
      </c>
      <c r="Q575">
        <v>6.4780730069999997E-4</v>
      </c>
      <c r="R575">
        <v>6.0837537749999998E-4</v>
      </c>
      <c r="S575">
        <v>5.7254291819999997E-4</v>
      </c>
      <c r="T575">
        <v>5.4187905359999997E-4</v>
      </c>
      <c r="U575">
        <v>5.156968884E-4</v>
      </c>
      <c r="V575">
        <v>4.9335943230000001E-4</v>
      </c>
      <c r="W575">
        <v>4.7545758839999999E-4</v>
      </c>
      <c r="X575">
        <v>4.6147692440000001E-4</v>
      </c>
      <c r="Y575">
        <v>4.5176361380000002E-4</v>
      </c>
      <c r="Z575">
        <v>4.4136108030000003E-4</v>
      </c>
      <c r="AA575">
        <v>4.3039995890000002E-4</v>
      </c>
      <c r="AB575">
        <v>4.1887783480000002E-4</v>
      </c>
      <c r="AC575">
        <v>4.0742410009999999E-4</v>
      </c>
      <c r="AD575">
        <v>3.9593550369999999E-4</v>
      </c>
      <c r="AE575">
        <v>3.8423783149999999E-4</v>
      </c>
      <c r="AF575">
        <v>3.7306047800000002E-4</v>
      </c>
      <c r="AG575">
        <v>3.621580916E-4</v>
      </c>
      <c r="AH575">
        <v>3.5157366919999998E-4</v>
      </c>
      <c r="AI575">
        <v>3.4128048989999997E-4</v>
      </c>
      <c r="AJ575">
        <v>3.315648219E-4</v>
      </c>
      <c r="AK575">
        <v>3.2228524409999999E-4</v>
      </c>
      <c r="AL575">
        <v>3.136266081E-4</v>
      </c>
      <c r="AM575">
        <v>3.0556013619999998E-4</v>
      </c>
      <c r="AN575">
        <v>2.979373845E-4</v>
      </c>
      <c r="AO575">
        <v>2.9074894669999998E-4</v>
      </c>
      <c r="AP575">
        <v>2.8392265569999998E-4</v>
      </c>
      <c r="AQ575">
        <v>2.7735809420000002E-4</v>
      </c>
      <c r="AR575">
        <v>2.7110379629999997E-4</v>
      </c>
      <c r="AS575">
        <v>2.6510506939999998E-4</v>
      </c>
    </row>
    <row r="576" spans="1:45" hidden="1" x14ac:dyDescent="0.3">
      <c r="A576" t="s">
        <v>688</v>
      </c>
      <c r="B576" t="s">
        <v>685</v>
      </c>
      <c r="C576" t="s">
        <v>681</v>
      </c>
      <c r="D576" t="s">
        <v>680</v>
      </c>
      <c r="E576" t="s">
        <v>22</v>
      </c>
      <c r="F576">
        <v>-20.444739719914999</v>
      </c>
      <c r="G576">
        <v>90.767075795716295</v>
      </c>
      <c r="H576">
        <v>358.86899411223601</v>
      </c>
      <c r="I576">
        <v>5332.4225694729503</v>
      </c>
      <c r="J576">
        <v>9.9660627642714304E-4</v>
      </c>
      <c r="K576">
        <v>9.7054950669743999E-4</v>
      </c>
      <c r="L576">
        <v>9.2340469862612696E-4</v>
      </c>
      <c r="M576">
        <v>8.5809841677661198E-4</v>
      </c>
      <c r="N576">
        <v>7.9287579099608695E-4</v>
      </c>
      <c r="O576">
        <v>7.34181954903187E-4</v>
      </c>
      <c r="P576">
        <v>6.8457172586578298E-4</v>
      </c>
      <c r="Q576">
        <v>6.4088677893282104E-4</v>
      </c>
      <c r="R576">
        <v>6.0116505692229096E-4</v>
      </c>
      <c r="S576">
        <v>5.6511157219779704E-4</v>
      </c>
      <c r="T576">
        <v>5.3425567324956002E-4</v>
      </c>
      <c r="U576">
        <v>5.0790009290230904E-4</v>
      </c>
      <c r="V576">
        <v>4.8564583466340099E-4</v>
      </c>
      <c r="W576">
        <v>4.6802388329561398E-4</v>
      </c>
      <c r="X576">
        <v>4.5426180479277601E-4</v>
      </c>
      <c r="Y576">
        <v>4.4470036028630201E-4</v>
      </c>
      <c r="Z576">
        <v>4.3446046877217799E-4</v>
      </c>
      <c r="AA576">
        <v>4.2367072279259201E-4</v>
      </c>
      <c r="AB576">
        <v>4.1232874530256402E-4</v>
      </c>
      <c r="AC576">
        <v>4.01054087954952E-4</v>
      </c>
      <c r="AD576">
        <v>3.8974511396457301E-4</v>
      </c>
      <c r="AE576">
        <v>3.7823033304165899E-4</v>
      </c>
      <c r="AF576">
        <v>3.6722773571716999E-4</v>
      </c>
      <c r="AG576">
        <v>3.5649580642503598E-4</v>
      </c>
      <c r="AH576">
        <v>3.4607686981544402E-4</v>
      </c>
      <c r="AI576">
        <v>3.3594462276549002E-4</v>
      </c>
      <c r="AJ576">
        <v>3.26380857716597E-4</v>
      </c>
      <c r="AK576">
        <v>3.17246364665566E-4</v>
      </c>
      <c r="AL576">
        <v>3.0872310508651399E-4</v>
      </c>
      <c r="AM576">
        <v>3.0078275121428401E-4</v>
      </c>
      <c r="AN576">
        <v>2.9327918004605898E-4</v>
      </c>
      <c r="AO576">
        <v>2.86203132347869E-4</v>
      </c>
      <c r="AP576">
        <v>2.7948356934104601E-4</v>
      </c>
      <c r="AQ576">
        <v>2.73021643734385E-4</v>
      </c>
      <c r="AR576">
        <v>2.6686513080481801E-4</v>
      </c>
      <c r="AS576">
        <v>2.6096019306259799E-4</v>
      </c>
    </row>
    <row r="577" spans="1:45" hidden="1" x14ac:dyDescent="0.3">
      <c r="A577" t="s">
        <v>688</v>
      </c>
      <c r="B577" t="s">
        <v>684</v>
      </c>
      <c r="C577" t="s">
        <v>681</v>
      </c>
      <c r="D577" t="s">
        <v>680</v>
      </c>
      <c r="E577" t="s">
        <v>22</v>
      </c>
      <c r="F577">
        <v>-20.444739719914999</v>
      </c>
      <c r="G577">
        <v>90.767075795716295</v>
      </c>
      <c r="H577">
        <v>999</v>
      </c>
      <c r="I577">
        <v>999</v>
      </c>
      <c r="J577">
        <v>1.09260430326685E-9</v>
      </c>
      <c r="K577">
        <v>1.56477045734937E-9</v>
      </c>
      <c r="L577">
        <v>1.4087539356442E-9</v>
      </c>
      <c r="M577">
        <v>1.1919813445529101E-9</v>
      </c>
      <c r="N577">
        <v>1.00287443031266E-9</v>
      </c>
      <c r="O577">
        <v>8.4576334079611096E-10</v>
      </c>
      <c r="P577">
        <v>7.1966302909277098E-10</v>
      </c>
      <c r="Q577">
        <v>6.16001645765209E-10</v>
      </c>
      <c r="R577">
        <v>5.29585493233753E-10</v>
      </c>
      <c r="S577">
        <v>4.5739978903293398E-10</v>
      </c>
      <c r="T577">
        <v>3.9823544403770899E-10</v>
      </c>
      <c r="U577">
        <v>3.4964443209901199E-10</v>
      </c>
      <c r="V577">
        <v>3.2066507828130898E-10</v>
      </c>
      <c r="W577">
        <v>2.7984005593316398E-10</v>
      </c>
      <c r="X577">
        <v>2.6956632785731898E-10</v>
      </c>
      <c r="Y577">
        <v>2.3879964364459701E-10</v>
      </c>
      <c r="Z577">
        <v>2.3156583185482301E-10</v>
      </c>
      <c r="AA577">
        <v>2.0471867946616801E-10</v>
      </c>
      <c r="AB577">
        <v>1.80767467216356E-10</v>
      </c>
      <c r="AC577">
        <v>1.74886793640326E-10</v>
      </c>
      <c r="AD577">
        <v>1.5437957229732999E-10</v>
      </c>
      <c r="AE577">
        <v>1.36187279262231E-10</v>
      </c>
      <c r="AF577">
        <v>1.20254372392083E-10</v>
      </c>
      <c r="AG577">
        <v>1.06214184132114E-10</v>
      </c>
      <c r="AH577">
        <v>9.3853614591353097E-11</v>
      </c>
      <c r="AI577">
        <v>9.0847411745926402E-11</v>
      </c>
      <c r="AJ577">
        <v>8.0376719095511402E-11</v>
      </c>
      <c r="AK577">
        <v>7.1166000489029103E-11</v>
      </c>
      <c r="AL577">
        <v>6.9091523895622206E-11</v>
      </c>
      <c r="AM577">
        <v>6.1327753064688301E-11</v>
      </c>
      <c r="AN577">
        <v>5.9664494736352899E-11</v>
      </c>
      <c r="AO577">
        <v>5.3056849319546002E-11</v>
      </c>
      <c r="AP577">
        <v>4.7220360029314202E-11</v>
      </c>
      <c r="AQ577">
        <v>4.2052273827721401E-11</v>
      </c>
      <c r="AR577">
        <v>3.7481368257431303E-11</v>
      </c>
      <c r="AS577">
        <v>3.34311675178469E-11</v>
      </c>
    </row>
    <row r="578" spans="1:45" hidden="1" x14ac:dyDescent="0.3">
      <c r="A578" t="s">
        <v>688</v>
      </c>
      <c r="B578" t="s">
        <v>682</v>
      </c>
      <c r="C578" t="s">
        <v>681</v>
      </c>
      <c r="D578" t="s">
        <v>680</v>
      </c>
      <c r="E578" t="s">
        <v>22</v>
      </c>
      <c r="F578">
        <v>-20.444739719914999</v>
      </c>
      <c r="G578">
        <v>90.767075795716295</v>
      </c>
      <c r="H578">
        <v>999</v>
      </c>
      <c r="I578">
        <v>999</v>
      </c>
      <c r="J578">
        <v>1.0911194095388099E-9</v>
      </c>
      <c r="K578">
        <v>1.5595240568218299E-9</v>
      </c>
      <c r="L578">
        <v>1.40219758903913E-9</v>
      </c>
      <c r="M578">
        <v>1.18493035982465E-9</v>
      </c>
      <c r="N578">
        <v>9.9568767386517705E-10</v>
      </c>
      <c r="O578">
        <v>8.3865759460604801E-10</v>
      </c>
      <c r="P578">
        <v>7.1274402096605605E-10</v>
      </c>
      <c r="Q578">
        <v>6.0934978875593501E-10</v>
      </c>
      <c r="R578">
        <v>5.2325721742090496E-10</v>
      </c>
      <c r="S578">
        <v>4.5142555112397502E-10</v>
      </c>
      <c r="T578">
        <v>3.9260919656226199E-10</v>
      </c>
      <c r="U578">
        <v>3.4434953705203999E-10</v>
      </c>
      <c r="V578">
        <v>3.1565152986877398E-10</v>
      </c>
      <c r="W578">
        <v>2.7546480035380198E-10</v>
      </c>
      <c r="X578">
        <v>2.6535170040006098E-10</v>
      </c>
      <c r="Y578">
        <v>2.3506604854628702E-10</v>
      </c>
      <c r="Z578">
        <v>2.27945336286211E-10</v>
      </c>
      <c r="AA578">
        <v>2.0151793498371299E-10</v>
      </c>
      <c r="AB578">
        <v>1.77941196088796E-10</v>
      </c>
      <c r="AC578">
        <v>1.7215246593696099E-10</v>
      </c>
      <c r="AD578">
        <v>1.5196587178797899E-10</v>
      </c>
      <c r="AE578">
        <v>1.3405801246699401E-10</v>
      </c>
      <c r="AF578">
        <v>1.1837421404197801E-10</v>
      </c>
      <c r="AG578">
        <v>1.04553541852511E-10</v>
      </c>
      <c r="AH578">
        <v>9.2386227915994804E-11</v>
      </c>
      <c r="AI578">
        <v>8.9427026570774602E-11</v>
      </c>
      <c r="AJ578">
        <v>7.9120041635178497E-11</v>
      </c>
      <c r="AK578">
        <v>7.0053331182862204E-11</v>
      </c>
      <c r="AL578">
        <v>6.8011288742127395E-11</v>
      </c>
      <c r="AM578">
        <v>6.0368903257767703E-11</v>
      </c>
      <c r="AN578">
        <v>5.8731649689434596E-11</v>
      </c>
      <c r="AO578">
        <v>5.22273138485616E-11</v>
      </c>
      <c r="AP578">
        <v>4.6482077115797403E-11</v>
      </c>
      <c r="AQ578">
        <v>4.1394793151994198E-11</v>
      </c>
      <c r="AR578">
        <v>3.68953529105056E-11</v>
      </c>
      <c r="AS578">
        <v>3.2908476445300002E-11</v>
      </c>
    </row>
    <row r="579" spans="1:45" hidden="1" x14ac:dyDescent="0.3">
      <c r="A579" t="s">
        <v>687</v>
      </c>
      <c r="B579" t="s">
        <v>686</v>
      </c>
      <c r="C579" t="s">
        <v>681</v>
      </c>
      <c r="D579" t="s">
        <v>680</v>
      </c>
      <c r="E579" t="s">
        <v>679</v>
      </c>
      <c r="F579">
        <v>-13.896725386221901</v>
      </c>
      <c r="G579">
        <v>999</v>
      </c>
      <c r="H579">
        <v>391.98038196655801</v>
      </c>
      <c r="I579">
        <v>8648.3642956249605</v>
      </c>
      <c r="J579">
        <v>0.315986919709904</v>
      </c>
      <c r="K579">
        <v>0.291163334008541</v>
      </c>
      <c r="L579">
        <v>0.267188994927816</v>
      </c>
      <c r="M579">
        <v>0.34770571610267398</v>
      </c>
      <c r="N579">
        <v>0.32198132387279299</v>
      </c>
      <c r="O579">
        <v>0.31902411776162898</v>
      </c>
      <c r="P579">
        <v>0.31770971590427999</v>
      </c>
      <c r="Q579">
        <v>0.31615304066407102</v>
      </c>
      <c r="R579">
        <v>0.31440941363294</v>
      </c>
      <c r="S579">
        <v>0.313177547152312</v>
      </c>
      <c r="T579">
        <v>0.311146241612207</v>
      </c>
      <c r="U579">
        <v>0.30933538238452402</v>
      </c>
      <c r="V579">
        <v>0.30828211283136597</v>
      </c>
      <c r="W579">
        <v>0.30763774388281501</v>
      </c>
      <c r="X579">
        <v>0.30786881289816098</v>
      </c>
      <c r="Y579">
        <v>0.308005589557591</v>
      </c>
      <c r="Z579">
        <v>0.30806427734511999</v>
      </c>
      <c r="AA579">
        <v>0.307391114650441</v>
      </c>
      <c r="AB579">
        <v>0.30735611614504199</v>
      </c>
      <c r="AC579">
        <v>0.30753741675506002</v>
      </c>
      <c r="AD579">
        <v>0.308202278194942</v>
      </c>
      <c r="AE579">
        <v>0.30897791728277602</v>
      </c>
      <c r="AF579">
        <v>0.30963018044679502</v>
      </c>
      <c r="AG579">
        <v>0.31036132970872099</v>
      </c>
      <c r="AH579">
        <v>0.31124014776643599</v>
      </c>
      <c r="AI579">
        <v>0.31225610326020597</v>
      </c>
      <c r="AJ579">
        <v>0.31296290282943101</v>
      </c>
      <c r="AK579">
        <v>0.31389777603182401</v>
      </c>
      <c r="AL579">
        <v>0.31486224566890397</v>
      </c>
      <c r="AM579">
        <v>0.31588515518765697</v>
      </c>
      <c r="AN579">
        <v>0.31684025273614003</v>
      </c>
      <c r="AO579">
        <v>0.31787878562614102</v>
      </c>
      <c r="AP579">
        <v>0.318840579507571</v>
      </c>
      <c r="AQ579">
        <v>0.31966698981678798</v>
      </c>
      <c r="AR579">
        <v>0.32062184550515499</v>
      </c>
      <c r="AS579">
        <v>0.32167140171728098</v>
      </c>
    </row>
    <row r="580" spans="1:45" hidden="1" x14ac:dyDescent="0.3">
      <c r="A580" t="s">
        <v>687</v>
      </c>
      <c r="B580" t="s">
        <v>685</v>
      </c>
      <c r="C580" t="s">
        <v>681</v>
      </c>
      <c r="D580" t="s">
        <v>680</v>
      </c>
      <c r="E580" t="s">
        <v>679</v>
      </c>
      <c r="F580">
        <v>-13.896725386221901</v>
      </c>
      <c r="G580">
        <v>999</v>
      </c>
      <c r="H580">
        <v>391.98038196655801</v>
      </c>
      <c r="I580">
        <v>8648.3642956249605</v>
      </c>
      <c r="J580">
        <v>0.315986919709904</v>
      </c>
      <c r="K580">
        <v>0.291163334008541</v>
      </c>
      <c r="L580">
        <v>0.26421651970677001</v>
      </c>
      <c r="M580">
        <v>0.34013825089497102</v>
      </c>
      <c r="N580">
        <v>0.31162043952987001</v>
      </c>
      <c r="O580">
        <v>0.30555302303429599</v>
      </c>
      <c r="P580">
        <v>0.301222778572657</v>
      </c>
      <c r="Q580">
        <v>0.29681346903168998</v>
      </c>
      <c r="R580">
        <v>0.29238781426890498</v>
      </c>
      <c r="S580">
        <v>0.28858694650338501</v>
      </c>
      <c r="T580">
        <v>0.284200806705945</v>
      </c>
      <c r="U580">
        <v>0.280179801894134</v>
      </c>
      <c r="V580">
        <v>0.27699763819533701</v>
      </c>
      <c r="W580">
        <v>0.27433188898366601</v>
      </c>
      <c r="X580">
        <v>0.27257875809242499</v>
      </c>
      <c r="Y580">
        <v>0.27085337238878199</v>
      </c>
      <c r="Z580">
        <v>0.26918606544322798</v>
      </c>
      <c r="AA580">
        <v>0.26701138533539698</v>
      </c>
      <c r="AB580">
        <v>0.265501397997563</v>
      </c>
      <c r="AC580">
        <v>0.264294345951534</v>
      </c>
      <c r="AD580">
        <v>0.26361223644433801</v>
      </c>
      <c r="AE580">
        <v>0.26311671074656701</v>
      </c>
      <c r="AF580">
        <v>0.26261774223015599</v>
      </c>
      <c r="AG580">
        <v>0.263791363381016</v>
      </c>
      <c r="AH580">
        <v>0.26509204367311601</v>
      </c>
      <c r="AI580">
        <v>0.26652276607469499</v>
      </c>
      <c r="AJ580">
        <v>0.26767783755163499</v>
      </c>
      <c r="AK580">
        <v>0.26902697884250398</v>
      </c>
      <c r="AL580">
        <v>0.27041188070134797</v>
      </c>
      <c r="AM580">
        <v>0.27185470224716102</v>
      </c>
      <c r="AN580">
        <v>0.27323592454144602</v>
      </c>
      <c r="AO580">
        <v>0.27469610986371101</v>
      </c>
      <c r="AP580">
        <v>0.27609464443888998</v>
      </c>
      <c r="AQ580">
        <v>0.277370445949087</v>
      </c>
      <c r="AR580">
        <v>0.27876162859320203</v>
      </c>
      <c r="AS580">
        <v>0.28023740636437899</v>
      </c>
    </row>
    <row r="581" spans="1:45" hidden="1" x14ac:dyDescent="0.3">
      <c r="A581" t="s">
        <v>687</v>
      </c>
      <c r="B581" t="s">
        <v>684</v>
      </c>
      <c r="C581" t="s">
        <v>681</v>
      </c>
      <c r="D581" t="s">
        <v>680</v>
      </c>
      <c r="E581" t="s">
        <v>679</v>
      </c>
      <c r="F581">
        <v>-13.896725386221901</v>
      </c>
      <c r="G581">
        <v>999</v>
      </c>
      <c r="H581">
        <v>1302.0905506976901</v>
      </c>
      <c r="I581">
        <v>28283.990355754999</v>
      </c>
      <c r="J581">
        <v>7.3113729545004294E-2</v>
      </c>
      <c r="K581">
        <v>6.5469599567492903E-2</v>
      </c>
      <c r="L581">
        <v>6.9273843744144206E-2</v>
      </c>
      <c r="M581">
        <v>9.70775140526908E-2</v>
      </c>
      <c r="N581">
        <v>9.1308971768527605E-2</v>
      </c>
      <c r="O581">
        <v>8.8341322817742096E-2</v>
      </c>
      <c r="P581">
        <v>8.5657566471551497E-2</v>
      </c>
      <c r="Q581">
        <v>8.3220263103528105E-2</v>
      </c>
      <c r="R581">
        <v>8.1463048579251199E-2</v>
      </c>
      <c r="S581">
        <v>7.9983323490106201E-2</v>
      </c>
      <c r="T581">
        <v>7.8742219488770304E-2</v>
      </c>
      <c r="U581">
        <v>7.7449639019954206E-2</v>
      </c>
      <c r="V581">
        <v>7.6311315666651905E-2</v>
      </c>
      <c r="W581">
        <v>7.5222470727956695E-2</v>
      </c>
      <c r="X581">
        <v>7.4286485408437894E-2</v>
      </c>
      <c r="Y581">
        <v>7.3374483362301596E-2</v>
      </c>
      <c r="Z581">
        <v>7.16586789072991E-2</v>
      </c>
      <c r="AA581">
        <v>6.9540810505855796E-2</v>
      </c>
      <c r="AB581">
        <v>6.74126724749919E-2</v>
      </c>
      <c r="AC581">
        <v>6.5086065827353698E-2</v>
      </c>
      <c r="AD581">
        <v>6.2565878838311106E-2</v>
      </c>
      <c r="AE581">
        <v>5.99912959877354E-2</v>
      </c>
      <c r="AF581">
        <v>5.7240689977292897E-2</v>
      </c>
      <c r="AG581">
        <v>5.3734865476321503E-2</v>
      </c>
      <c r="AH581">
        <v>5.0554819604830603E-2</v>
      </c>
      <c r="AI581">
        <v>4.7430318072745101E-2</v>
      </c>
      <c r="AJ581">
        <v>4.4476668073148498E-2</v>
      </c>
      <c r="AK581">
        <v>4.1832734973667997E-2</v>
      </c>
      <c r="AL581">
        <v>3.9185345963045203E-2</v>
      </c>
      <c r="AM581">
        <v>3.6781598207788202E-2</v>
      </c>
      <c r="AN581">
        <v>3.5328157011612502E-2</v>
      </c>
      <c r="AO581">
        <v>3.4524963591125502E-2</v>
      </c>
      <c r="AP581">
        <v>3.3729764388446597E-2</v>
      </c>
      <c r="AQ581">
        <v>3.2864683063023398E-2</v>
      </c>
      <c r="AR581">
        <v>3.2300137051617502E-2</v>
      </c>
      <c r="AS581">
        <v>3.17807902778156E-2</v>
      </c>
    </row>
    <row r="582" spans="1:45" hidden="1" x14ac:dyDescent="0.3">
      <c r="A582" t="s">
        <v>687</v>
      </c>
      <c r="B582" t="s">
        <v>682</v>
      </c>
      <c r="C582" t="s">
        <v>681</v>
      </c>
      <c r="D582" t="s">
        <v>680</v>
      </c>
      <c r="E582" t="s">
        <v>679</v>
      </c>
      <c r="F582">
        <v>-13.896725386221901</v>
      </c>
      <c r="G582">
        <v>999</v>
      </c>
      <c r="H582">
        <v>1302.0905506976901</v>
      </c>
      <c r="I582">
        <v>28283.990355754999</v>
      </c>
      <c r="J582">
        <v>7.3068447203345099E-2</v>
      </c>
      <c r="K582">
        <v>6.5371465752349298E-2</v>
      </c>
      <c r="L582">
        <v>6.8162835357867796E-2</v>
      </c>
      <c r="M582">
        <v>9.4326027075907606E-2</v>
      </c>
      <c r="N582">
        <v>8.7573881684681304E-2</v>
      </c>
      <c r="O582">
        <v>8.3431799285875796E-2</v>
      </c>
      <c r="P582">
        <v>7.9659469777323605E-2</v>
      </c>
      <c r="Q582">
        <v>7.6202993015943798E-2</v>
      </c>
      <c r="R582">
        <v>7.3498604024820197E-2</v>
      </c>
      <c r="S582">
        <v>7.1120574651921897E-2</v>
      </c>
      <c r="T582">
        <v>6.9066707917066095E-2</v>
      </c>
      <c r="U582">
        <v>6.7021927966194994E-2</v>
      </c>
      <c r="V582">
        <v>6.5170491295202707E-2</v>
      </c>
      <c r="W582">
        <v>6.3419810989725198E-2</v>
      </c>
      <c r="X582">
        <v>6.1847791531603302E-2</v>
      </c>
      <c r="Y582">
        <v>6.0308333852752298E-2</v>
      </c>
      <c r="Z582">
        <v>5.8047410187521797E-2</v>
      </c>
      <c r="AA582">
        <v>5.5498505405920703E-2</v>
      </c>
      <c r="AB582">
        <v>5.2983059615447699E-2</v>
      </c>
      <c r="AC582">
        <v>5.03537933830163E-2</v>
      </c>
      <c r="AD582">
        <v>4.7617538934927102E-2</v>
      </c>
      <c r="AE582">
        <v>4.4909978984848199E-2</v>
      </c>
      <c r="AF582">
        <v>4.2126115363008101E-2</v>
      </c>
      <c r="AG582">
        <v>3.9075962836127298E-2</v>
      </c>
      <c r="AH582">
        <v>3.63247483898997E-2</v>
      </c>
      <c r="AI582">
        <v>3.3662787873730601E-2</v>
      </c>
      <c r="AJ582">
        <v>3.11857808974507E-2</v>
      </c>
      <c r="AK582">
        <v>2.8988361248889E-2</v>
      </c>
      <c r="AL582">
        <v>2.68524284392921E-2</v>
      </c>
      <c r="AM582">
        <v>2.49682811626445E-2</v>
      </c>
      <c r="AN582">
        <v>2.3746391769666E-2</v>
      </c>
      <c r="AO582">
        <v>2.30013439845753E-2</v>
      </c>
      <c r="AP582">
        <v>2.2290770172268801E-2</v>
      </c>
      <c r="AQ582">
        <v>2.1561818231915102E-2</v>
      </c>
      <c r="AR582">
        <v>2.11348241525449E-2</v>
      </c>
      <c r="AS582">
        <v>2.0787266727994001E-2</v>
      </c>
    </row>
    <row r="583" spans="1:45" hidden="1" x14ac:dyDescent="0.3">
      <c r="A583" t="s">
        <v>683</v>
      </c>
      <c r="B583" t="s">
        <v>686</v>
      </c>
      <c r="C583" t="s">
        <v>681</v>
      </c>
      <c r="D583" t="s">
        <v>680</v>
      </c>
      <c r="E583" t="s">
        <v>679</v>
      </c>
      <c r="F583">
        <v>999</v>
      </c>
      <c r="G583">
        <v>0</v>
      </c>
      <c r="H583">
        <v>0</v>
      </c>
      <c r="I583">
        <v>0</v>
      </c>
      <c r="J583">
        <v>0.32141535889348999</v>
      </c>
      <c r="K583">
        <v>0.291525048389288</v>
      </c>
      <c r="L583">
        <v>0.26851753290927499</v>
      </c>
      <c r="M583">
        <v>0.35499111893680801</v>
      </c>
      <c r="N583">
        <v>0.33538055594634703</v>
      </c>
      <c r="O583">
        <v>0.32270868254220098</v>
      </c>
      <c r="P583">
        <v>0.32023327746192898</v>
      </c>
      <c r="Q583">
        <v>0.31771063120422999</v>
      </c>
      <c r="R583">
        <v>0.31519298087773001</v>
      </c>
      <c r="S583">
        <v>0.31323838733861797</v>
      </c>
      <c r="T583">
        <v>0.31066024509704498</v>
      </c>
      <c r="U583">
        <v>0.30824511095839602</v>
      </c>
      <c r="V583">
        <v>0.30657338229168102</v>
      </c>
      <c r="W583">
        <v>0.30524075093653102</v>
      </c>
      <c r="X583">
        <v>0.30466613907485901</v>
      </c>
      <c r="Y583">
        <v>0.30398959684427301</v>
      </c>
      <c r="Z583">
        <v>0.30327089279945102</v>
      </c>
      <c r="AA583">
        <v>0.30191612406118401</v>
      </c>
      <c r="AB583">
        <v>0.30111833581597802</v>
      </c>
      <c r="AC583">
        <v>0.30049229139350903</v>
      </c>
      <c r="AD583">
        <v>0.30027787103419101</v>
      </c>
      <c r="AE583">
        <v>0.30020204456049498</v>
      </c>
      <c r="AF583">
        <v>0.29998920147055003</v>
      </c>
      <c r="AG583">
        <v>0.299885816164429</v>
      </c>
      <c r="AH583">
        <v>0.29993250836656798</v>
      </c>
      <c r="AI583">
        <v>0.30004389778776303</v>
      </c>
      <c r="AJ583">
        <v>0.29996488973077401</v>
      </c>
      <c r="AK583">
        <v>0.30005917692405298</v>
      </c>
      <c r="AL583">
        <v>0.30017535615817498</v>
      </c>
      <c r="AM583">
        <v>0.30035057505854001</v>
      </c>
      <c r="AN583">
        <v>0.30050757059162803</v>
      </c>
      <c r="AO583">
        <v>0.30072041223469298</v>
      </c>
      <c r="AP583">
        <v>0.30089235712183898</v>
      </c>
      <c r="AQ583">
        <v>0.30098302660961701</v>
      </c>
      <c r="AR583">
        <v>0.30112063431298802</v>
      </c>
      <c r="AS583">
        <v>0.301351920630547</v>
      </c>
    </row>
    <row r="584" spans="1:45" hidden="1" x14ac:dyDescent="0.3">
      <c r="A584" t="s">
        <v>683</v>
      </c>
      <c r="B584" t="s">
        <v>685</v>
      </c>
      <c r="C584" t="s">
        <v>681</v>
      </c>
      <c r="D584" t="s">
        <v>680</v>
      </c>
      <c r="E584" t="s">
        <v>679</v>
      </c>
      <c r="F584">
        <v>999</v>
      </c>
      <c r="G584">
        <v>0</v>
      </c>
      <c r="H584">
        <v>0</v>
      </c>
      <c r="I584">
        <v>0</v>
      </c>
      <c r="J584">
        <v>0.32141535889348999</v>
      </c>
      <c r="K584">
        <v>0.291525048389288</v>
      </c>
      <c r="L584">
        <v>0.26851753290927499</v>
      </c>
      <c r="M584">
        <v>0.35201780732939703</v>
      </c>
      <c r="N584">
        <v>0.32990384322138899</v>
      </c>
      <c r="O584">
        <v>0.31496941501855802</v>
      </c>
      <c r="P584">
        <v>0.31019744820332001</v>
      </c>
      <c r="Q584">
        <v>0.30551238531359098</v>
      </c>
      <c r="R584">
        <v>0.30096200209516399</v>
      </c>
      <c r="S584">
        <v>0.29707179761594799</v>
      </c>
      <c r="T584">
        <v>0.29272132181636901</v>
      </c>
      <c r="U584">
        <v>0.28865476840593801</v>
      </c>
      <c r="V584">
        <v>0.28540693868436601</v>
      </c>
      <c r="W584">
        <v>0.28260335040314899</v>
      </c>
      <c r="X584">
        <v>0.28063081091270498</v>
      </c>
      <c r="Y584">
        <v>0.27868554443030502</v>
      </c>
      <c r="Z584">
        <v>0.27683548801506902</v>
      </c>
      <c r="AA584">
        <v>0.27452945955181501</v>
      </c>
      <c r="AB584">
        <v>0.27285385695488601</v>
      </c>
      <c r="AC584">
        <v>0.27147556518122301</v>
      </c>
      <c r="AD584">
        <v>0.27060772344895201</v>
      </c>
      <c r="AE584">
        <v>0.26997813992899899</v>
      </c>
      <c r="AF584">
        <v>0.26935884619341699</v>
      </c>
      <c r="AG584">
        <v>0.26897221630901302</v>
      </c>
      <c r="AH584">
        <v>0.26883369734562101</v>
      </c>
      <c r="AI584">
        <v>0.26889404083111301</v>
      </c>
      <c r="AJ584">
        <v>0.268923780860158</v>
      </c>
      <c r="AK584">
        <v>0.26922835258931399</v>
      </c>
      <c r="AL584">
        <v>0.26970080937303798</v>
      </c>
      <c r="AM584">
        <v>0.27038129171579001</v>
      </c>
      <c r="AN584">
        <v>0.27118243065274</v>
      </c>
      <c r="AO584">
        <v>0.27219147603449201</v>
      </c>
      <c r="AP584">
        <v>0.27331690820169402</v>
      </c>
      <c r="AQ584">
        <v>0.27449026805043603</v>
      </c>
      <c r="AR584">
        <v>0.275768032313566</v>
      </c>
      <c r="AS584">
        <v>0.27721287181214899</v>
      </c>
    </row>
    <row r="585" spans="1:45" hidden="1" x14ac:dyDescent="0.3">
      <c r="A585" t="s">
        <v>683</v>
      </c>
      <c r="B585" t="s">
        <v>684</v>
      </c>
      <c r="C585" t="s">
        <v>681</v>
      </c>
      <c r="D585" t="s">
        <v>680</v>
      </c>
      <c r="E585" t="s">
        <v>679</v>
      </c>
      <c r="F585">
        <v>999</v>
      </c>
      <c r="G585">
        <v>0</v>
      </c>
      <c r="H585">
        <v>0</v>
      </c>
      <c r="I585">
        <v>0</v>
      </c>
      <c r="J585">
        <v>7.7406510936463793E-2</v>
      </c>
      <c r="K585">
        <v>6.8735967584460197E-2</v>
      </c>
      <c r="L585">
        <v>-1.4333636499941301E-16</v>
      </c>
      <c r="M585">
        <v>1.0235696159121999E-2</v>
      </c>
      <c r="N585">
        <v>1.9497596164939901E-2</v>
      </c>
      <c r="O585">
        <v>2.71335379129687E-2</v>
      </c>
      <c r="P585">
        <v>3.4275063230924399E-2</v>
      </c>
      <c r="Q585">
        <v>4.07545859291907E-2</v>
      </c>
      <c r="R585">
        <v>4.6793058301468501E-2</v>
      </c>
      <c r="S585">
        <v>5.2461082066983598E-2</v>
      </c>
      <c r="T585">
        <v>5.7905645571863902E-2</v>
      </c>
      <c r="U585">
        <v>6.2782655259173301E-2</v>
      </c>
      <c r="V585">
        <v>6.7342319644849005E-2</v>
      </c>
      <c r="W585">
        <v>7.1557505602236907E-2</v>
      </c>
      <c r="X585">
        <v>7.5611900348423994E-2</v>
      </c>
      <c r="Y585">
        <v>7.9501168754436302E-2</v>
      </c>
      <c r="Z585">
        <v>8.2226050681893606E-2</v>
      </c>
      <c r="AA585">
        <v>8.3990728650519403E-2</v>
      </c>
      <c r="AB585">
        <v>8.5281438979986704E-2</v>
      </c>
      <c r="AC585">
        <v>8.5947188078389899E-2</v>
      </c>
      <c r="AD585">
        <v>8.6086013818872306E-2</v>
      </c>
      <c r="AE585">
        <v>8.5856082758281105E-2</v>
      </c>
      <c r="AF585">
        <v>8.5032883312691099E-2</v>
      </c>
      <c r="AG585">
        <v>8.3178164845032806E-2</v>
      </c>
      <c r="AH585">
        <v>8.1217393196446996E-2</v>
      </c>
      <c r="AI585">
        <v>7.89966522863607E-2</v>
      </c>
      <c r="AJ585">
        <v>7.6700001776876706E-2</v>
      </c>
      <c r="AK585">
        <v>7.4369536517294305E-2</v>
      </c>
      <c r="AL585">
        <v>7.1863968762540698E-2</v>
      </c>
      <c r="AM585">
        <v>6.9276868721572002E-2</v>
      </c>
      <c r="AN585">
        <v>6.8047649160364404E-2</v>
      </c>
      <c r="AO585">
        <v>6.7577812842074897E-2</v>
      </c>
      <c r="AP585">
        <v>6.6878058452827696E-2</v>
      </c>
      <c r="AQ585">
        <v>6.6013598250878297E-2</v>
      </c>
      <c r="AR585">
        <v>6.5277928140895697E-2</v>
      </c>
      <c r="AS585">
        <v>6.4442663498970904E-2</v>
      </c>
    </row>
    <row r="586" spans="1:45" hidden="1" x14ac:dyDescent="0.3">
      <c r="A586" t="s">
        <v>683</v>
      </c>
      <c r="B586" t="s">
        <v>682</v>
      </c>
      <c r="C586" t="s">
        <v>681</v>
      </c>
      <c r="D586" t="s">
        <v>680</v>
      </c>
      <c r="E586" t="s">
        <v>679</v>
      </c>
      <c r="F586">
        <v>999</v>
      </c>
      <c r="G586">
        <v>0</v>
      </c>
      <c r="H586">
        <v>0</v>
      </c>
      <c r="I586">
        <v>0</v>
      </c>
      <c r="J586">
        <v>7.7368409412667705E-2</v>
      </c>
      <c r="K586">
        <v>6.8656265030060198E-2</v>
      </c>
      <c r="L586">
        <v>-1.4333636499941301E-16</v>
      </c>
      <c r="M586">
        <v>9.9463009762660003E-3</v>
      </c>
      <c r="N586">
        <v>1.87655225813044E-2</v>
      </c>
      <c r="O586">
        <v>2.57446527638635E-2</v>
      </c>
      <c r="P586">
        <v>3.2097449307592202E-2</v>
      </c>
      <c r="Q586">
        <v>3.7714760129815297E-2</v>
      </c>
      <c r="R586">
        <v>4.2860454696943398E-2</v>
      </c>
      <c r="S586">
        <v>4.76084524861769E-2</v>
      </c>
      <c r="T586">
        <v>5.21470007743371E-2</v>
      </c>
      <c r="U586">
        <v>5.6125777202334103E-2</v>
      </c>
      <c r="V586">
        <v>5.9790253672777897E-2</v>
      </c>
      <c r="W586">
        <v>6.3131887989871002E-2</v>
      </c>
      <c r="X586">
        <v>6.6325124451670797E-2</v>
      </c>
      <c r="Y586">
        <v>6.93561494008679E-2</v>
      </c>
      <c r="Z586">
        <v>7.1177059840450294E-2</v>
      </c>
      <c r="AA586">
        <v>7.2081687457098198E-2</v>
      </c>
      <c r="AB586">
        <v>7.2513222553878903E-2</v>
      </c>
      <c r="AC586">
        <v>7.2348684339976696E-2</v>
      </c>
      <c r="AD586">
        <v>7.1714937084836103E-2</v>
      </c>
      <c r="AE586">
        <v>7.0804800708892904E-2</v>
      </c>
      <c r="AF586">
        <v>6.9397671716742507E-2</v>
      </c>
      <c r="AG586">
        <v>6.7140920336274307E-2</v>
      </c>
      <c r="AH586">
        <v>6.4825327502152502E-2</v>
      </c>
      <c r="AI586">
        <v>6.2378240259183697E-2</v>
      </c>
      <c r="AJ586">
        <v>5.9963246970793298E-2</v>
      </c>
      <c r="AK586">
        <v>5.7604122544022203E-2</v>
      </c>
      <c r="AL586">
        <v>5.5193155333600398E-2</v>
      </c>
      <c r="AM586">
        <v>5.2813466174697399E-2</v>
      </c>
      <c r="AN586">
        <v>5.1594162873564199E-2</v>
      </c>
      <c r="AO586">
        <v>5.1045790106781501E-2</v>
      </c>
      <c r="AP586">
        <v>5.0364010237472501E-2</v>
      </c>
      <c r="AQ586">
        <v>4.9594935369795597E-2</v>
      </c>
      <c r="AR586">
        <v>4.9076634477369901E-2</v>
      </c>
      <c r="AS586">
        <v>4.8575312298651599E-2</v>
      </c>
    </row>
    <row r="589" spans="1:45" x14ac:dyDescent="0.3">
      <c r="J589" s="9">
        <f t="shared" ref="J589:AS589" si="0">(J63-J64)/J63</f>
        <v>4.3041888069779259E-2</v>
      </c>
      <c r="K589" s="9">
        <f t="shared" si="0"/>
        <v>7.2541546129528428E-2</v>
      </c>
      <c r="L589" s="9">
        <f t="shared" si="0"/>
        <v>0.10360013298818306</v>
      </c>
      <c r="M589" s="9">
        <f t="shared" si="0"/>
        <v>0.15773649649220323</v>
      </c>
      <c r="N589" s="9">
        <f t="shared" si="0"/>
        <v>0.20470574484195692</v>
      </c>
      <c r="O589" s="9">
        <f t="shared" si="0"/>
        <v>0.20853664570952979</v>
      </c>
      <c r="P589" s="9">
        <f t="shared" si="0"/>
        <v>0.22753018655882645</v>
      </c>
      <c r="Q589" s="9">
        <f t="shared" si="0"/>
        <v>0.24219211389033937</v>
      </c>
      <c r="R589" s="9">
        <f t="shared" si="0"/>
        <v>0.25301387296907046</v>
      </c>
      <c r="S589" s="9">
        <f t="shared" si="0"/>
        <v>0.25966513571789618</v>
      </c>
      <c r="T589" s="9">
        <f t="shared" si="0"/>
        <v>0.24783828460464066</v>
      </c>
      <c r="U589" s="9">
        <f t="shared" si="0"/>
        <v>0.23467123834730499</v>
      </c>
      <c r="V589" s="9">
        <f t="shared" si="0"/>
        <v>0.22210940572591761</v>
      </c>
      <c r="W589" s="9">
        <f t="shared" si="0"/>
        <v>0.20995729628098453</v>
      </c>
      <c r="X589" s="9">
        <f t="shared" si="0"/>
        <v>0.19816869623029801</v>
      </c>
      <c r="Y589" s="9">
        <f t="shared" si="0"/>
        <v>0.17547300927658591</v>
      </c>
      <c r="Z589" s="9">
        <f t="shared" si="0"/>
        <v>0.15103189752417609</v>
      </c>
      <c r="AA589" s="9">
        <f t="shared" si="0"/>
        <v>0.12568323024333025</v>
      </c>
      <c r="AB589" s="9">
        <f t="shared" si="0"/>
        <v>9.9232463102090843E-2</v>
      </c>
      <c r="AC589" s="9">
        <f t="shared" si="0"/>
        <v>7.2794190683158094E-2</v>
      </c>
      <c r="AD589" s="9">
        <f t="shared" si="0"/>
        <v>4.6652970739994339E-2</v>
      </c>
      <c r="AE589" s="9">
        <f t="shared" si="0"/>
        <v>2.1309426893121177E-2</v>
      </c>
      <c r="AF589" s="9">
        <f t="shared" si="0"/>
        <v>-2.9561579605678298E-3</v>
      </c>
      <c r="AG589" s="9">
        <f t="shared" si="0"/>
        <v>-2.5995162095748016E-2</v>
      </c>
      <c r="AH589" s="9">
        <f t="shared" si="0"/>
        <v>-4.765344159198516E-2</v>
      </c>
      <c r="AI589" s="9">
        <f t="shared" si="0"/>
        <v>-8.6046551957418463E-2</v>
      </c>
      <c r="AJ589" s="9">
        <f t="shared" si="0"/>
        <v>-0.12304022543164832</v>
      </c>
      <c r="AK589" s="9">
        <f t="shared" si="0"/>
        <v>-0.15816021894479573</v>
      </c>
      <c r="AL589" s="9">
        <f t="shared" si="0"/>
        <v>-0.19109352037730684</v>
      </c>
      <c r="AM589" s="9">
        <f t="shared" si="0"/>
        <v>-0.22170511665849976</v>
      </c>
      <c r="AN589" s="9">
        <f t="shared" si="0"/>
        <v>-0.24993885639822014</v>
      </c>
      <c r="AO589" s="9">
        <f t="shared" si="0"/>
        <v>-0.27553853755737689</v>
      </c>
      <c r="AP589" s="9">
        <f t="shared" si="0"/>
        <v>-0.29849786955312552</v>
      </c>
      <c r="AQ589" s="9">
        <f t="shared" si="0"/>
        <v>-0.31933073480626872</v>
      </c>
      <c r="AR589" s="9">
        <f t="shared" si="0"/>
        <v>-0.33729646265343599</v>
      </c>
      <c r="AS589" s="9">
        <f t="shared" si="0"/>
        <v>-0.35285912781344458</v>
      </c>
    </row>
    <row r="591" spans="1:45" x14ac:dyDescent="0.3">
      <c r="J591" s="9">
        <f>(J287-J288)/J287</f>
        <v>5.0281140871361742E-2</v>
      </c>
    </row>
    <row r="593" spans="10:10" x14ac:dyDescent="0.3">
      <c r="J593" s="9">
        <f>(J463-J464)/J463</f>
        <v>0</v>
      </c>
    </row>
  </sheetData>
  <autoFilter ref="A1:AS586" xr:uid="{AA5DD269-49C6-8D44-9F35-A504D52D743E}">
    <filterColumn colId="3">
      <filters>
        <filter val="Commercial (New), Commercial (Existing)"/>
      </filters>
    </filterColumn>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CCDDE-EE45-491D-99CF-50EAA3E3AD6C}">
  <sheetPr codeName="Sheet12"/>
  <dimension ref="A1:AM28"/>
  <sheetViews>
    <sheetView workbookViewId="0">
      <selection activeCell="I17" sqref="I17:I28"/>
    </sheetView>
  </sheetViews>
  <sheetFormatPr defaultColWidth="10.6640625" defaultRowHeight="15.6" x14ac:dyDescent="0.3"/>
  <cols>
    <col min="1" max="16384" width="10.6640625" style="178"/>
  </cols>
  <sheetData>
    <row r="1" spans="1:39" s="201" customFormat="1" x14ac:dyDescent="0.3">
      <c r="A1" s="201" t="s">
        <v>678</v>
      </c>
      <c r="C1" s="201" t="s">
        <v>677</v>
      </c>
      <c r="D1" s="201">
        <v>2015</v>
      </c>
      <c r="E1" s="201">
        <v>2016</v>
      </c>
      <c r="F1" s="201">
        <v>2017</v>
      </c>
      <c r="G1" s="201">
        <v>2018</v>
      </c>
      <c r="H1" s="201">
        <v>2019</v>
      </c>
      <c r="I1" s="201">
        <v>2020</v>
      </c>
      <c r="J1" s="201">
        <v>2021</v>
      </c>
      <c r="K1" s="201">
        <v>2022</v>
      </c>
      <c r="L1" s="201">
        <v>2023</v>
      </c>
      <c r="M1" s="201">
        <v>2024</v>
      </c>
      <c r="N1" s="201">
        <v>2025</v>
      </c>
      <c r="O1" s="201">
        <v>2026</v>
      </c>
      <c r="P1" s="201">
        <v>2027</v>
      </c>
      <c r="Q1" s="201">
        <v>2028</v>
      </c>
      <c r="R1" s="201">
        <v>2029</v>
      </c>
      <c r="S1" s="201">
        <v>2030</v>
      </c>
      <c r="T1" s="201">
        <v>2031</v>
      </c>
      <c r="U1" s="201">
        <v>2032</v>
      </c>
      <c r="V1" s="201">
        <v>2033</v>
      </c>
      <c r="W1" s="201">
        <v>2034</v>
      </c>
      <c r="X1" s="201">
        <v>2035</v>
      </c>
      <c r="Y1" s="201">
        <v>2036</v>
      </c>
      <c r="Z1" s="201">
        <v>2037</v>
      </c>
      <c r="AA1" s="201">
        <v>2038</v>
      </c>
      <c r="AB1" s="201">
        <v>2039</v>
      </c>
      <c r="AC1" s="201">
        <v>2040</v>
      </c>
      <c r="AD1" s="201">
        <v>2041</v>
      </c>
      <c r="AE1" s="201">
        <v>2042</v>
      </c>
      <c r="AF1" s="201">
        <v>2043</v>
      </c>
      <c r="AG1" s="201">
        <v>2044</v>
      </c>
      <c r="AH1" s="201">
        <v>2045</v>
      </c>
      <c r="AI1" s="201">
        <v>2046</v>
      </c>
      <c r="AJ1" s="201">
        <v>2047</v>
      </c>
      <c r="AK1" s="201">
        <v>2048</v>
      </c>
      <c r="AL1" s="201">
        <v>2049</v>
      </c>
      <c r="AM1" s="201">
        <v>2050</v>
      </c>
    </row>
    <row r="2" spans="1:39" x14ac:dyDescent="0.3">
      <c r="C2" s="178" t="s">
        <v>627</v>
      </c>
      <c r="D2" s="200">
        <v>1582.2463112</v>
      </c>
      <c r="E2" s="200">
        <v>1594.0613008999901</v>
      </c>
      <c r="F2" s="200">
        <v>1605.8637954000001</v>
      </c>
      <c r="G2" s="200">
        <v>1618.36319539999</v>
      </c>
      <c r="H2" s="200">
        <v>1632.0178805</v>
      </c>
      <c r="I2" s="200">
        <v>1649.2075374999999</v>
      </c>
      <c r="J2" s="200">
        <v>1666.0694931</v>
      </c>
      <c r="K2" s="200">
        <v>1682.5925357000001</v>
      </c>
      <c r="L2" s="200">
        <v>1698.7820099999999</v>
      </c>
      <c r="M2" s="200">
        <v>1714.6483496000001</v>
      </c>
      <c r="N2" s="200">
        <v>1730.3463208999999</v>
      </c>
      <c r="O2" s="200">
        <v>1746.0530352999899</v>
      </c>
      <c r="P2" s="200">
        <v>1761.85108559999</v>
      </c>
      <c r="Q2" s="200">
        <v>1777.73024929999</v>
      </c>
      <c r="R2" s="200">
        <v>1793.6693792000001</v>
      </c>
      <c r="S2" s="200">
        <v>1809.6976205999999</v>
      </c>
      <c r="T2" s="200">
        <v>1825.8531766999899</v>
      </c>
      <c r="U2" s="200">
        <v>1842.0584722000001</v>
      </c>
      <c r="V2" s="200">
        <v>1858.2828697999901</v>
      </c>
      <c r="W2" s="200">
        <v>1874.4422546999999</v>
      </c>
      <c r="X2" s="200">
        <v>1890.4679934999999</v>
      </c>
      <c r="Y2" s="200">
        <v>1906.3589233999901</v>
      </c>
      <c r="Z2" s="200">
        <v>1922.1345298000001</v>
      </c>
      <c r="AA2" s="200">
        <v>1937.8429088</v>
      </c>
      <c r="AB2" s="200">
        <v>1953.5639985999901</v>
      </c>
      <c r="AC2" s="200">
        <v>1969.3371643999999</v>
      </c>
      <c r="AD2" s="200">
        <v>1985.1097599</v>
      </c>
      <c r="AE2" s="200">
        <v>2000.8926171000001</v>
      </c>
      <c r="AF2" s="200">
        <v>2016.7051001</v>
      </c>
      <c r="AG2" s="200">
        <v>2032.5664389000001</v>
      </c>
      <c r="AH2" s="200">
        <v>2048.5361413000001</v>
      </c>
      <c r="AI2" s="200">
        <v>2064.5985141000001</v>
      </c>
      <c r="AJ2" s="200">
        <v>2080.7455691999999</v>
      </c>
      <c r="AK2" s="200">
        <v>2096.9559604000001</v>
      </c>
      <c r="AL2" s="200">
        <v>2113.1753537999998</v>
      </c>
      <c r="AM2" s="200">
        <v>2129.3511841999998</v>
      </c>
    </row>
    <row r="3" spans="1:39" x14ac:dyDescent="0.3">
      <c r="C3" s="178" t="s">
        <v>625</v>
      </c>
      <c r="D3" s="200">
        <v>2288.8745067999998</v>
      </c>
      <c r="E3" s="200">
        <v>2328.0908450000002</v>
      </c>
      <c r="F3" s="200">
        <v>2370.386078</v>
      </c>
      <c r="G3" s="200">
        <v>2417.9045160000001</v>
      </c>
      <c r="H3" s="200">
        <v>2470.6376130999902</v>
      </c>
      <c r="I3" s="200">
        <v>2506.3552075999901</v>
      </c>
      <c r="J3" s="200">
        <v>2542.1818289999901</v>
      </c>
      <c r="K3" s="200">
        <v>2577.66506109999</v>
      </c>
      <c r="L3" s="200">
        <v>2612.8934835</v>
      </c>
      <c r="M3" s="200">
        <v>2647.67259069999</v>
      </c>
      <c r="N3" s="200">
        <v>2682.3424673</v>
      </c>
      <c r="O3" s="200">
        <v>2717.1212722999999</v>
      </c>
      <c r="P3" s="200">
        <v>2751.5285257999999</v>
      </c>
      <c r="Q3" s="200">
        <v>2785.5666487999902</v>
      </c>
      <c r="R3" s="200">
        <v>2819.3132000000001</v>
      </c>
      <c r="S3" s="200">
        <v>2852.8644459000002</v>
      </c>
      <c r="T3" s="200">
        <v>2886.5469558</v>
      </c>
      <c r="U3" s="200">
        <v>2920.0128482999999</v>
      </c>
      <c r="V3" s="200">
        <v>2953.4365010000001</v>
      </c>
      <c r="W3" s="200">
        <v>2986.8714642999998</v>
      </c>
      <c r="X3" s="200">
        <v>3019.9286045999902</v>
      </c>
      <c r="Y3" s="200">
        <v>3052.8413809999902</v>
      </c>
      <c r="Z3" s="200">
        <v>3085.4756722000002</v>
      </c>
      <c r="AA3" s="200">
        <v>3118.1982751999999</v>
      </c>
      <c r="AB3" s="200">
        <v>3150.7453345999902</v>
      </c>
      <c r="AC3" s="200">
        <v>3183.3152770000002</v>
      </c>
      <c r="AD3" s="200">
        <v>3215.7428104000001</v>
      </c>
      <c r="AE3" s="200">
        <v>3248.2302623999899</v>
      </c>
      <c r="AF3" s="200">
        <v>3280.7263582999999</v>
      </c>
      <c r="AG3" s="200">
        <v>3313.1627409999901</v>
      </c>
      <c r="AH3" s="200">
        <v>3345.5921998999902</v>
      </c>
      <c r="AI3" s="200">
        <v>3377.9885644000001</v>
      </c>
      <c r="AJ3" s="200">
        <v>3410.4958407999902</v>
      </c>
      <c r="AK3" s="200">
        <v>3443.09</v>
      </c>
      <c r="AL3" s="200">
        <v>3475.8788313</v>
      </c>
      <c r="AM3" s="200">
        <v>3508.8656231999998</v>
      </c>
    </row>
    <row r="4" spans="1:39" x14ac:dyDescent="0.3">
      <c r="C4" s="178" t="s">
        <v>622</v>
      </c>
      <c r="D4" s="200">
        <v>168.60298839999999</v>
      </c>
      <c r="E4" s="200">
        <v>170.22776719999999</v>
      </c>
      <c r="F4" s="200">
        <v>172.2793217</v>
      </c>
      <c r="G4" s="200">
        <v>174.78112829999901</v>
      </c>
      <c r="H4" s="200">
        <v>177.5995254</v>
      </c>
      <c r="I4" s="200">
        <v>180.22981580000001</v>
      </c>
      <c r="J4" s="200">
        <v>182.66870950000001</v>
      </c>
      <c r="K4" s="200">
        <v>184.89897880000001</v>
      </c>
      <c r="L4" s="200">
        <v>186.95507720000001</v>
      </c>
      <c r="M4" s="200">
        <v>188.896973</v>
      </c>
      <c r="N4" s="200">
        <v>190.8256921</v>
      </c>
      <c r="O4" s="200">
        <v>192.8501799</v>
      </c>
      <c r="P4" s="200">
        <v>195.02239839999999</v>
      </c>
      <c r="Q4" s="200">
        <v>197.3096142</v>
      </c>
      <c r="R4" s="200">
        <v>199.65339760000001</v>
      </c>
      <c r="S4" s="200">
        <v>202.02602739999901</v>
      </c>
      <c r="T4" s="200">
        <v>204.42714949999899</v>
      </c>
      <c r="U4" s="200">
        <v>206.83293409999999</v>
      </c>
      <c r="V4" s="200">
        <v>209.2164214</v>
      </c>
      <c r="W4" s="200">
        <v>211.54471179999999</v>
      </c>
      <c r="X4" s="200">
        <v>213.7920666</v>
      </c>
      <c r="Y4" s="200">
        <v>215.95932109999899</v>
      </c>
      <c r="Z4" s="200">
        <v>218.07921099999999</v>
      </c>
      <c r="AA4" s="200">
        <v>220.18517700000001</v>
      </c>
      <c r="AB4" s="200">
        <v>222.33204810000001</v>
      </c>
      <c r="AC4" s="200">
        <v>224.5399085</v>
      </c>
      <c r="AD4" s="200">
        <v>226.77729149999999</v>
      </c>
      <c r="AE4" s="200">
        <v>229.02124149999901</v>
      </c>
      <c r="AF4" s="200">
        <v>231.27394770000001</v>
      </c>
      <c r="AG4" s="200">
        <v>233.54409870000001</v>
      </c>
      <c r="AH4" s="200">
        <v>235.86109019999901</v>
      </c>
      <c r="AI4" s="200">
        <v>238.2241167</v>
      </c>
      <c r="AJ4" s="200">
        <v>240.61984029999999</v>
      </c>
      <c r="AK4" s="200">
        <v>243.02779959999901</v>
      </c>
      <c r="AL4" s="200">
        <v>245.41514179999999</v>
      </c>
      <c r="AM4" s="200">
        <v>247.74964629999999</v>
      </c>
    </row>
    <row r="5" spans="1:39" x14ac:dyDescent="0.3">
      <c r="C5" s="178" t="s">
        <v>621</v>
      </c>
      <c r="D5" s="200">
        <v>302.56701839999999</v>
      </c>
      <c r="E5" s="200">
        <v>305.44645989999998</v>
      </c>
      <c r="F5" s="200">
        <v>309.11471460000001</v>
      </c>
      <c r="G5" s="200">
        <v>313.57462359999897</v>
      </c>
      <c r="H5" s="200">
        <v>318.59049659999999</v>
      </c>
      <c r="I5" s="200">
        <v>323.34899280000002</v>
      </c>
      <c r="J5" s="200">
        <v>327.76232359999898</v>
      </c>
      <c r="K5" s="200">
        <v>331.79831710000002</v>
      </c>
      <c r="L5" s="200">
        <v>335.51459129999898</v>
      </c>
      <c r="M5" s="200">
        <v>339.013583199999</v>
      </c>
      <c r="N5" s="200">
        <v>342.47486220000002</v>
      </c>
      <c r="O5" s="200">
        <v>346.095548299999</v>
      </c>
      <c r="P5" s="200">
        <v>349.97410449999899</v>
      </c>
      <c r="Q5" s="200">
        <v>354.05698640000003</v>
      </c>
      <c r="R5" s="200">
        <v>358.24498390000002</v>
      </c>
      <c r="S5" s="200">
        <v>362.4926188</v>
      </c>
      <c r="T5" s="200">
        <v>366.80155969999998</v>
      </c>
      <c r="U5" s="200">
        <v>371.12471109999899</v>
      </c>
      <c r="V5" s="200">
        <v>375.41743250000002</v>
      </c>
      <c r="W5" s="200">
        <v>379.61069140000001</v>
      </c>
      <c r="X5" s="200">
        <v>383.65894850000001</v>
      </c>
      <c r="Y5" s="200">
        <v>387.56027469999998</v>
      </c>
      <c r="Z5" s="200">
        <v>391.37123730000002</v>
      </c>
      <c r="AA5" s="200">
        <v>395.15095839999998</v>
      </c>
      <c r="AB5" s="200">
        <v>398.99917340000002</v>
      </c>
      <c r="AC5" s="200">
        <v>402.95278949999903</v>
      </c>
      <c r="AD5" s="200">
        <v>406.95768559999999</v>
      </c>
      <c r="AE5" s="200">
        <v>410.9754982</v>
      </c>
      <c r="AF5" s="200">
        <v>415.01103669999998</v>
      </c>
      <c r="AG5" s="200">
        <v>419.0821454</v>
      </c>
      <c r="AH5" s="200">
        <v>423.24126699999999</v>
      </c>
      <c r="AI5" s="200">
        <v>427.4857035</v>
      </c>
      <c r="AJ5" s="200">
        <v>431.791870799999</v>
      </c>
      <c r="AK5" s="200">
        <v>436.12527929999902</v>
      </c>
      <c r="AL5" s="200">
        <v>440.42407489999999</v>
      </c>
      <c r="AM5" s="200">
        <v>444.62938869999999</v>
      </c>
    </row>
    <row r="6" spans="1:39" x14ac:dyDescent="0.3">
      <c r="C6" s="178" t="s">
        <v>675</v>
      </c>
      <c r="D6" s="200">
        <v>377.82874900000002</v>
      </c>
      <c r="E6" s="200">
        <v>384.27060030000001</v>
      </c>
      <c r="F6" s="200">
        <v>390.75925969999997</v>
      </c>
      <c r="G6" s="200">
        <v>398.16458210000002</v>
      </c>
      <c r="H6" s="200">
        <v>406.797700499999</v>
      </c>
      <c r="I6" s="200">
        <v>413.465116999999</v>
      </c>
      <c r="J6" s="200">
        <v>420.03726899999998</v>
      </c>
      <c r="K6" s="200">
        <v>426.52977679999998</v>
      </c>
      <c r="L6" s="200">
        <v>432.94455249999999</v>
      </c>
      <c r="M6" s="200">
        <v>439.29410059999998</v>
      </c>
      <c r="N6" s="200">
        <v>445.61644709999899</v>
      </c>
      <c r="O6" s="200">
        <v>451.9567189</v>
      </c>
      <c r="P6" s="200">
        <v>458.3400259</v>
      </c>
      <c r="Q6" s="200">
        <v>464.75386959999997</v>
      </c>
      <c r="R6" s="200">
        <v>471.18955870000002</v>
      </c>
      <c r="S6" s="200">
        <v>477.64919220000002</v>
      </c>
      <c r="T6" s="200">
        <v>484.13797640000001</v>
      </c>
      <c r="U6" s="200">
        <v>490.63842970000002</v>
      </c>
      <c r="V6" s="200">
        <v>497.13816919999999</v>
      </c>
      <c r="W6" s="200">
        <v>503.6133044</v>
      </c>
      <c r="X6" s="200">
        <v>510.05131549999999</v>
      </c>
      <c r="Y6" s="200">
        <v>516.44948690000001</v>
      </c>
      <c r="Z6" s="200">
        <v>522.8176115</v>
      </c>
      <c r="AA6" s="200">
        <v>529.168161099999</v>
      </c>
      <c r="AB6" s="200">
        <v>535.52663210000003</v>
      </c>
      <c r="AC6" s="200">
        <v>541.90132049999897</v>
      </c>
      <c r="AD6" s="200">
        <v>548.27552839999998</v>
      </c>
      <c r="AE6" s="200">
        <v>554.65007149999997</v>
      </c>
      <c r="AF6" s="200">
        <v>561.03303809999898</v>
      </c>
      <c r="AG6" s="200">
        <v>567.42761840000003</v>
      </c>
      <c r="AH6" s="200">
        <v>573.85001299999999</v>
      </c>
      <c r="AI6" s="200">
        <v>580.29410350000001</v>
      </c>
      <c r="AJ6" s="200">
        <v>586.75582039999995</v>
      </c>
      <c r="AK6" s="200">
        <v>593.22711389999995</v>
      </c>
      <c r="AL6" s="200">
        <v>599.69155339999998</v>
      </c>
      <c r="AM6" s="200">
        <v>606.13326989999996</v>
      </c>
    </row>
    <row r="7" spans="1:39" x14ac:dyDescent="0.3">
      <c r="C7" s="178" t="s">
        <v>614</v>
      </c>
      <c r="D7" s="200">
        <v>1088.9210711999999</v>
      </c>
      <c r="E7" s="200">
        <v>1101.7500510999901</v>
      </c>
      <c r="F7" s="200">
        <v>1115.1175866999999</v>
      </c>
      <c r="G7" s="200">
        <v>1129.8634119999999</v>
      </c>
      <c r="H7" s="200">
        <v>1144.5917090999999</v>
      </c>
      <c r="I7" s="200">
        <v>1159.21720859999</v>
      </c>
      <c r="J7" s="200">
        <v>1173.6941420999999</v>
      </c>
      <c r="K7" s="200">
        <v>1187.9212169999901</v>
      </c>
      <c r="L7" s="200">
        <v>1201.8831685999901</v>
      </c>
      <c r="M7" s="200">
        <v>1215.5982743</v>
      </c>
      <c r="N7" s="200">
        <v>1229.1644706</v>
      </c>
      <c r="O7" s="200">
        <v>1242.7496452</v>
      </c>
      <c r="P7" s="200">
        <v>1256.4890235</v>
      </c>
      <c r="Q7" s="200">
        <v>1270.4180962999999</v>
      </c>
      <c r="R7" s="200">
        <v>1284.5154454000001</v>
      </c>
      <c r="S7" s="200">
        <v>1298.7565523000001</v>
      </c>
      <c r="T7" s="200">
        <v>1313.1188388999999</v>
      </c>
      <c r="U7" s="200">
        <v>1327.5395974999999</v>
      </c>
      <c r="V7" s="200">
        <v>1341.9564561</v>
      </c>
      <c r="W7" s="200">
        <v>1356.3016580999999</v>
      </c>
      <c r="X7" s="200">
        <v>1370.5172984999999</v>
      </c>
      <c r="Y7" s="200">
        <v>1384.5842044999999</v>
      </c>
      <c r="Z7" s="200">
        <v>1398.5247078</v>
      </c>
      <c r="AA7" s="200">
        <v>1412.38929359999</v>
      </c>
      <c r="AB7" s="200">
        <v>1426.2586421999999</v>
      </c>
      <c r="AC7" s="200">
        <v>1440.1879914000001</v>
      </c>
      <c r="AD7" s="200">
        <v>1454.1794044999999</v>
      </c>
      <c r="AE7" s="200">
        <v>1468.21707869999</v>
      </c>
      <c r="AF7" s="200">
        <v>1482.2952267999999</v>
      </c>
      <c r="AG7" s="200">
        <v>1496.4141632999999</v>
      </c>
      <c r="AH7" s="200">
        <v>1510.6003074999901</v>
      </c>
      <c r="AI7" s="200">
        <v>1524.85318769999</v>
      </c>
      <c r="AJ7" s="200">
        <v>1539.15452679999</v>
      </c>
      <c r="AK7" s="200">
        <v>1553.4842751000001</v>
      </c>
      <c r="AL7" s="200">
        <v>1567.80031939999</v>
      </c>
      <c r="AM7" s="200">
        <v>1582.04946009999</v>
      </c>
    </row>
    <row r="8" spans="1:39" x14ac:dyDescent="0.3">
      <c r="C8" s="178" t="s">
        <v>617</v>
      </c>
      <c r="D8" s="200">
        <v>909.32970089999901</v>
      </c>
      <c r="E8" s="200">
        <v>928.35503719999997</v>
      </c>
      <c r="F8" s="200">
        <v>948.11326349999899</v>
      </c>
      <c r="G8" s="200">
        <v>967.5187502</v>
      </c>
      <c r="H8" s="200">
        <v>987.21755529999905</v>
      </c>
      <c r="I8" s="200">
        <v>1002.9224882999901</v>
      </c>
      <c r="J8" s="200">
        <v>1017.67986319999</v>
      </c>
      <c r="K8" s="200">
        <v>1031.0122018</v>
      </c>
      <c r="L8" s="200">
        <v>1043.2735143999901</v>
      </c>
      <c r="M8" s="200">
        <v>1054.9256347999999</v>
      </c>
      <c r="N8" s="200">
        <v>1066.75498009999</v>
      </c>
      <c r="O8" s="200">
        <v>1079.4059149</v>
      </c>
      <c r="P8" s="200">
        <v>1093.0242135000001</v>
      </c>
      <c r="Q8" s="200">
        <v>1107.3076079</v>
      </c>
      <c r="R8" s="200">
        <v>1121.7868166999999</v>
      </c>
      <c r="S8" s="200">
        <v>1136.2397712</v>
      </c>
      <c r="T8" s="200">
        <v>1150.6807529</v>
      </c>
      <c r="U8" s="200">
        <v>1164.9293783999999</v>
      </c>
      <c r="V8" s="200">
        <v>1178.9715967</v>
      </c>
      <c r="W8" s="200">
        <v>1192.7059581999999</v>
      </c>
      <c r="X8" s="200">
        <v>1205.9848867000001</v>
      </c>
      <c r="Y8" s="200">
        <v>1218.9652460999901</v>
      </c>
      <c r="Z8" s="200">
        <v>1231.7790703999999</v>
      </c>
      <c r="AA8" s="200">
        <v>1244.7188168</v>
      </c>
      <c r="AB8" s="200">
        <v>1257.9543142</v>
      </c>
      <c r="AC8" s="200">
        <v>1271.6446214</v>
      </c>
      <c r="AD8" s="200">
        <v>1285.5080941000001</v>
      </c>
      <c r="AE8" s="200">
        <v>1299.3751930999999</v>
      </c>
      <c r="AF8" s="200">
        <v>1313.1873306</v>
      </c>
      <c r="AG8" s="200">
        <v>1326.99850179999</v>
      </c>
      <c r="AH8" s="200">
        <v>1340.9917469</v>
      </c>
      <c r="AI8" s="200">
        <v>1355.18170079999</v>
      </c>
      <c r="AJ8" s="200">
        <v>1369.4914021</v>
      </c>
      <c r="AK8" s="200">
        <v>1383.8111305</v>
      </c>
      <c r="AL8" s="200">
        <v>1397.9853897999999</v>
      </c>
      <c r="AM8" s="200">
        <v>1411.87030029999</v>
      </c>
    </row>
    <row r="9" spans="1:39" x14ac:dyDescent="0.3">
      <c r="C9" s="178" t="s">
        <v>608</v>
      </c>
      <c r="D9" s="200">
        <v>2561.9540231000001</v>
      </c>
      <c r="E9" s="200">
        <v>2598.5216532999998</v>
      </c>
      <c r="F9" s="200">
        <v>2639.9976321999902</v>
      </c>
      <c r="G9" s="200">
        <v>2686.8254821</v>
      </c>
      <c r="H9" s="200">
        <v>2736.9456480999902</v>
      </c>
      <c r="I9" s="200">
        <v>2778.9318539000001</v>
      </c>
      <c r="J9" s="200">
        <v>2818.2021922999902</v>
      </c>
      <c r="K9" s="200">
        <v>2854.4906867999998</v>
      </c>
      <c r="L9" s="200">
        <v>2888.1715308999901</v>
      </c>
      <c r="M9" s="200">
        <v>2919.9351747000001</v>
      </c>
      <c r="N9" s="200">
        <v>2951.1208305999999</v>
      </c>
      <c r="O9" s="200">
        <v>2983.3243545999999</v>
      </c>
      <c r="P9" s="200">
        <v>3017.3707758</v>
      </c>
      <c r="Q9" s="200">
        <v>3052.8875874999999</v>
      </c>
      <c r="R9" s="200">
        <v>3089.1897598999899</v>
      </c>
      <c r="S9" s="200">
        <v>3125.9885285999999</v>
      </c>
      <c r="T9" s="200">
        <v>3163.3257583</v>
      </c>
      <c r="U9" s="200">
        <v>3200.8151042999998</v>
      </c>
      <c r="V9" s="200">
        <v>3238.08653369999</v>
      </c>
      <c r="W9" s="200">
        <v>3274.5748559999902</v>
      </c>
      <c r="X9" s="200">
        <v>3309.8881517</v>
      </c>
      <c r="Y9" s="200">
        <v>3343.9688266999901</v>
      </c>
      <c r="Z9" s="200">
        <v>3377.2385104</v>
      </c>
      <c r="AA9" s="200">
        <v>3410.1324810999999</v>
      </c>
      <c r="AB9" s="200">
        <v>3443.4728712999899</v>
      </c>
      <c r="AC9" s="200">
        <v>3477.5430465999898</v>
      </c>
      <c r="AD9" s="200">
        <v>3511.9307311999901</v>
      </c>
      <c r="AE9" s="200">
        <v>3546.3735490999902</v>
      </c>
      <c r="AF9" s="200">
        <v>3580.9279488000002</v>
      </c>
      <c r="AG9" s="200">
        <v>3615.7360601999999</v>
      </c>
      <c r="AH9" s="200">
        <v>3651.2412801</v>
      </c>
      <c r="AI9" s="200">
        <v>3687.4288936999901</v>
      </c>
      <c r="AJ9" s="200">
        <v>3724.1067509999998</v>
      </c>
      <c r="AK9" s="200">
        <v>3761.03912389999</v>
      </c>
      <c r="AL9" s="200">
        <v>3797.7224111999999</v>
      </c>
      <c r="AM9" s="200">
        <v>3833.6682260999901</v>
      </c>
    </row>
    <row r="10" spans="1:39" x14ac:dyDescent="0.3">
      <c r="C10" s="178" t="s">
        <v>674</v>
      </c>
      <c r="D10" s="200">
        <v>1476.0579654999999</v>
      </c>
      <c r="E10" s="200">
        <v>1493.3041283</v>
      </c>
      <c r="F10" s="200">
        <v>1509.56521</v>
      </c>
      <c r="G10" s="200">
        <v>1526.8353325999999</v>
      </c>
      <c r="H10" s="200">
        <v>1542.5222397</v>
      </c>
      <c r="I10" s="200">
        <v>1565.7338671</v>
      </c>
      <c r="J10" s="200">
        <v>1589.5881892999901</v>
      </c>
      <c r="K10" s="200">
        <v>1613.8068109999999</v>
      </c>
      <c r="L10" s="200">
        <v>1638.52332319999</v>
      </c>
      <c r="M10" s="200">
        <v>1663.7404528</v>
      </c>
      <c r="N10" s="200">
        <v>1690.6465857000001</v>
      </c>
      <c r="O10" s="200">
        <v>1718.6519148999901</v>
      </c>
      <c r="P10" s="200">
        <v>1745.5799001</v>
      </c>
      <c r="Q10" s="200">
        <v>1771.85674669999</v>
      </c>
      <c r="R10" s="200">
        <v>1797.8097112999999</v>
      </c>
      <c r="S10" s="200">
        <v>1823.3792220999901</v>
      </c>
      <c r="T10" s="200">
        <v>1849.0737893999999</v>
      </c>
      <c r="U10" s="200">
        <v>1873.9529451999899</v>
      </c>
      <c r="V10" s="200">
        <v>1899.3429842999999</v>
      </c>
      <c r="W10" s="200">
        <v>1925.06316559999</v>
      </c>
      <c r="X10" s="200">
        <v>1950.385405</v>
      </c>
      <c r="Y10" s="200">
        <v>1975.9888851999999</v>
      </c>
      <c r="Z10" s="200">
        <v>2001.4746997</v>
      </c>
      <c r="AA10" s="200">
        <v>2027.6815523</v>
      </c>
      <c r="AB10" s="200">
        <v>2053.3840084999902</v>
      </c>
      <c r="AC10" s="200">
        <v>2079.0571626000001</v>
      </c>
      <c r="AD10" s="200">
        <v>2103.9566758999999</v>
      </c>
      <c r="AE10" s="200">
        <v>2129.3812598999998</v>
      </c>
      <c r="AF10" s="200">
        <v>2154.8986199999999</v>
      </c>
      <c r="AG10" s="200">
        <v>2180.0503883000001</v>
      </c>
      <c r="AH10" s="200">
        <v>2205.2391932999999</v>
      </c>
      <c r="AI10" s="200">
        <v>2229.9004016999902</v>
      </c>
      <c r="AJ10" s="200">
        <v>2254.9254896999901</v>
      </c>
      <c r="AK10" s="200">
        <v>2279.8413796999998</v>
      </c>
      <c r="AL10" s="200">
        <v>2305.3476866000001</v>
      </c>
      <c r="AM10" s="200">
        <v>2331.2134686999998</v>
      </c>
    </row>
    <row r="11" spans="1:39" x14ac:dyDescent="0.3">
      <c r="C11" s="178" t="s">
        <v>611</v>
      </c>
      <c r="D11" s="200">
        <v>1402.4660779999999</v>
      </c>
      <c r="E11" s="200">
        <v>1419.7467041</v>
      </c>
      <c r="F11" s="200">
        <v>1437.6463835</v>
      </c>
      <c r="G11" s="200">
        <v>1457.49241479999</v>
      </c>
      <c r="H11" s="200">
        <v>1477.6847003999901</v>
      </c>
      <c r="I11" s="200">
        <v>1496.9867002999999</v>
      </c>
      <c r="J11" s="200">
        <v>1516.0819603999901</v>
      </c>
      <c r="K11" s="200">
        <v>1534.85500599999</v>
      </c>
      <c r="L11" s="200">
        <v>1553.2921403</v>
      </c>
      <c r="M11" s="200">
        <v>1571.419813</v>
      </c>
      <c r="N11" s="200">
        <v>1589.3616694999901</v>
      </c>
      <c r="O11" s="200">
        <v>1607.3321813</v>
      </c>
      <c r="P11" s="200">
        <v>1625.49467169999</v>
      </c>
      <c r="Q11" s="200">
        <v>1643.8860672999899</v>
      </c>
      <c r="R11" s="200">
        <v>1662.4790478</v>
      </c>
      <c r="S11" s="200">
        <v>1681.24594519999</v>
      </c>
      <c r="T11" s="200">
        <v>1700.1601704</v>
      </c>
      <c r="U11" s="200">
        <v>1719.14657789999</v>
      </c>
      <c r="V11" s="200">
        <v>1738.1271669</v>
      </c>
      <c r="W11" s="200">
        <v>1757.0152538</v>
      </c>
      <c r="X11" s="200">
        <v>1775.7397109000001</v>
      </c>
      <c r="Y11" s="200">
        <v>1794.2789510999901</v>
      </c>
      <c r="Z11" s="200">
        <v>1812.6610983999999</v>
      </c>
      <c r="AA11" s="200">
        <v>1830.9484044000001</v>
      </c>
      <c r="AB11" s="200">
        <v>1849.2442386999901</v>
      </c>
      <c r="AC11" s="200">
        <v>1867.6164160000001</v>
      </c>
      <c r="AD11" s="200">
        <v>1886.0578521999901</v>
      </c>
      <c r="AE11" s="200">
        <v>1904.5512964</v>
      </c>
      <c r="AF11" s="200">
        <v>1923.0923622999901</v>
      </c>
      <c r="AG11" s="200">
        <v>1941.6841559</v>
      </c>
      <c r="AH11" s="200">
        <v>1960.3629776999901</v>
      </c>
      <c r="AI11" s="200">
        <v>1979.12543649999</v>
      </c>
      <c r="AJ11" s="200">
        <v>1997.9473651999899</v>
      </c>
      <c r="AK11" s="200">
        <v>2016.8079627</v>
      </c>
      <c r="AL11" s="200">
        <v>2035.6467969</v>
      </c>
      <c r="AM11" s="200">
        <v>2054.4005192</v>
      </c>
    </row>
    <row r="12" spans="1:39" x14ac:dyDescent="0.3">
      <c r="C12" s="178" t="s">
        <v>605</v>
      </c>
      <c r="D12" s="200">
        <v>2319.6367848999898</v>
      </c>
      <c r="E12" s="200">
        <v>2371.8430702999999</v>
      </c>
      <c r="F12" s="200">
        <v>2420.3854249000001</v>
      </c>
      <c r="G12" s="200">
        <v>2468.5750189999999</v>
      </c>
      <c r="H12" s="200">
        <v>2517.2464139999902</v>
      </c>
      <c r="I12" s="200">
        <v>2556.9774241</v>
      </c>
      <c r="J12" s="200">
        <v>2596.2339041</v>
      </c>
      <c r="K12" s="200">
        <v>2634.4896471000002</v>
      </c>
      <c r="L12" s="200">
        <v>2671.8324505999999</v>
      </c>
      <c r="M12" s="200">
        <v>2708.5719097000001</v>
      </c>
      <c r="N12" s="200">
        <v>2745.2201188999902</v>
      </c>
      <c r="O12" s="200">
        <v>2782.2174066999901</v>
      </c>
      <c r="P12" s="200">
        <v>2819.7815384999999</v>
      </c>
      <c r="Q12" s="200">
        <v>2857.7830834000001</v>
      </c>
      <c r="R12" s="200">
        <v>2896.0674036</v>
      </c>
      <c r="S12" s="200">
        <v>2934.5866333999902</v>
      </c>
      <c r="T12" s="200">
        <v>2973.3147960000001</v>
      </c>
      <c r="U12" s="200">
        <v>3012.1080754</v>
      </c>
      <c r="V12" s="200">
        <v>3050.81629349999</v>
      </c>
      <c r="W12" s="200">
        <v>3089.3571849</v>
      </c>
      <c r="X12" s="200">
        <v>3127.6465598999998</v>
      </c>
      <c r="Y12" s="200">
        <v>3165.7756076000001</v>
      </c>
      <c r="Z12" s="200">
        <v>3203.8350523999902</v>
      </c>
      <c r="AA12" s="200">
        <v>3241.94643859999</v>
      </c>
      <c r="AB12" s="200">
        <v>3280.2262142999898</v>
      </c>
      <c r="AC12" s="200">
        <v>3318.7561260000002</v>
      </c>
      <c r="AD12" s="200">
        <v>3357.4405502999998</v>
      </c>
      <c r="AE12" s="200">
        <v>3396.16479139999</v>
      </c>
      <c r="AF12" s="200">
        <v>3434.9376522999901</v>
      </c>
      <c r="AG12" s="200">
        <v>3473.7431755999901</v>
      </c>
      <c r="AH12" s="200">
        <v>3512.6831078999999</v>
      </c>
      <c r="AI12" s="200">
        <v>3551.6938744999902</v>
      </c>
      <c r="AJ12" s="200">
        <v>3590.7145509000002</v>
      </c>
      <c r="AK12" s="200">
        <v>3629.7100817</v>
      </c>
      <c r="AL12" s="200">
        <v>3668.6702304999999</v>
      </c>
      <c r="AM12" s="200">
        <v>3707.5738085999901</v>
      </c>
    </row>
    <row r="13" spans="1:39" x14ac:dyDescent="0.3">
      <c r="C13" s="178" t="s">
        <v>673</v>
      </c>
      <c r="D13" s="200">
        <f t="shared" ref="D13:AM13" si="0">SUM(D2:D12)</f>
        <v>14478.485197399987</v>
      </c>
      <c r="E13" s="200">
        <f t="shared" si="0"/>
        <v>14695.617617599981</v>
      </c>
      <c r="F13" s="200">
        <f t="shared" si="0"/>
        <v>14919.228670199991</v>
      </c>
      <c r="G13" s="200">
        <f t="shared" si="0"/>
        <v>15159.898456099976</v>
      </c>
      <c r="H13" s="200">
        <f t="shared" si="0"/>
        <v>15411.851482699958</v>
      </c>
      <c r="I13" s="200">
        <f t="shared" si="0"/>
        <v>15633.376212999969</v>
      </c>
      <c r="J13" s="200">
        <f t="shared" si="0"/>
        <v>15850.199875599948</v>
      </c>
      <c r="K13" s="200">
        <f t="shared" si="0"/>
        <v>16060.060239199971</v>
      </c>
      <c r="L13" s="200">
        <f t="shared" si="0"/>
        <v>16264.06584249996</v>
      </c>
      <c r="M13" s="200">
        <f t="shared" si="0"/>
        <v>16463.716856399988</v>
      </c>
      <c r="N13" s="200">
        <f t="shared" si="0"/>
        <v>16663.874444999969</v>
      </c>
      <c r="O13" s="200">
        <f t="shared" si="0"/>
        <v>16867.758172299968</v>
      </c>
      <c r="P13" s="200">
        <f t="shared" si="0"/>
        <v>17074.456263299977</v>
      </c>
      <c r="Q13" s="200">
        <f t="shared" si="0"/>
        <v>17283.556557399963</v>
      </c>
      <c r="R13" s="200">
        <f t="shared" si="0"/>
        <v>17493.91870409999</v>
      </c>
      <c r="S13" s="200">
        <f t="shared" si="0"/>
        <v>17704.926557699968</v>
      </c>
      <c r="T13" s="200">
        <f t="shared" si="0"/>
        <v>17917.440923999988</v>
      </c>
      <c r="U13" s="200">
        <f t="shared" si="0"/>
        <v>18129.159074099978</v>
      </c>
      <c r="V13" s="200">
        <f t="shared" si="0"/>
        <v>18340.792425099971</v>
      </c>
      <c r="W13" s="200">
        <f t="shared" si="0"/>
        <v>18551.100503199981</v>
      </c>
      <c r="X13" s="200">
        <f t="shared" si="0"/>
        <v>18758.060941399988</v>
      </c>
      <c r="Y13" s="200">
        <f t="shared" si="0"/>
        <v>18962.731108299951</v>
      </c>
      <c r="Z13" s="200">
        <f t="shared" si="0"/>
        <v>19165.391400899989</v>
      </c>
      <c r="AA13" s="200">
        <f t="shared" si="0"/>
        <v>19368.362467299979</v>
      </c>
      <c r="AB13" s="200">
        <f t="shared" si="0"/>
        <v>19571.707475999941</v>
      </c>
      <c r="AC13" s="200">
        <f t="shared" si="0"/>
        <v>19776.851823899986</v>
      </c>
      <c r="AD13" s="200">
        <f t="shared" si="0"/>
        <v>19981.936383999979</v>
      </c>
      <c r="AE13" s="200">
        <f t="shared" si="0"/>
        <v>20187.832859299961</v>
      </c>
      <c r="AF13" s="200">
        <f t="shared" si="0"/>
        <v>20394.088621699979</v>
      </c>
      <c r="AG13" s="200">
        <f t="shared" si="0"/>
        <v>20600.409487499972</v>
      </c>
      <c r="AH13" s="200">
        <f t="shared" si="0"/>
        <v>20808.199324799971</v>
      </c>
      <c r="AI13" s="200">
        <f t="shared" si="0"/>
        <v>21016.774497099941</v>
      </c>
      <c r="AJ13" s="200">
        <f t="shared" si="0"/>
        <v>21226.749027199956</v>
      </c>
      <c r="AK13" s="200">
        <f t="shared" si="0"/>
        <v>21437.120106799986</v>
      </c>
      <c r="AL13" s="200">
        <f t="shared" si="0"/>
        <v>21647.757789599989</v>
      </c>
      <c r="AM13" s="200">
        <f t="shared" si="0"/>
        <v>21857.50489529996</v>
      </c>
    </row>
    <row r="15" spans="1:39" x14ac:dyDescent="0.3">
      <c r="C15" s="178" t="s">
        <v>676</v>
      </c>
    </row>
    <row r="16" spans="1:39" x14ac:dyDescent="0.3">
      <c r="D16" s="201">
        <v>2015</v>
      </c>
      <c r="E16" s="201">
        <v>2016</v>
      </c>
      <c r="F16" s="201">
        <v>2017</v>
      </c>
      <c r="G16" s="201">
        <v>2018</v>
      </c>
      <c r="H16" s="201">
        <v>2019</v>
      </c>
      <c r="I16" s="201">
        <v>2020</v>
      </c>
      <c r="J16" s="201">
        <v>2021</v>
      </c>
      <c r="K16" s="201">
        <v>2022</v>
      </c>
      <c r="L16" s="201">
        <v>2023</v>
      </c>
      <c r="M16" s="201">
        <v>2024</v>
      </c>
      <c r="N16" s="201">
        <v>2025</v>
      </c>
      <c r="O16" s="201">
        <v>2026</v>
      </c>
      <c r="P16" s="201">
        <v>2027</v>
      </c>
      <c r="Q16" s="201">
        <v>2028</v>
      </c>
      <c r="R16" s="201">
        <v>2029</v>
      </c>
      <c r="S16" s="201">
        <v>2030</v>
      </c>
      <c r="T16" s="201">
        <v>2031</v>
      </c>
      <c r="U16" s="201">
        <v>2032</v>
      </c>
      <c r="V16" s="201">
        <v>2033</v>
      </c>
      <c r="W16" s="201">
        <v>2034</v>
      </c>
      <c r="X16" s="201">
        <v>2035</v>
      </c>
      <c r="Y16" s="201">
        <v>2036</v>
      </c>
      <c r="Z16" s="201">
        <v>2037</v>
      </c>
      <c r="AA16" s="201">
        <v>2038</v>
      </c>
      <c r="AB16" s="201">
        <v>2039</v>
      </c>
      <c r="AC16" s="201">
        <v>2040</v>
      </c>
      <c r="AD16" s="201">
        <v>2041</v>
      </c>
      <c r="AE16" s="201">
        <v>2042</v>
      </c>
      <c r="AF16" s="201">
        <v>2043</v>
      </c>
      <c r="AG16" s="201">
        <v>2044</v>
      </c>
      <c r="AH16" s="201">
        <v>2045</v>
      </c>
      <c r="AI16" s="201">
        <v>2046</v>
      </c>
      <c r="AJ16" s="201">
        <v>2047</v>
      </c>
      <c r="AK16" s="201">
        <v>2048</v>
      </c>
      <c r="AL16" s="201">
        <v>2049</v>
      </c>
      <c r="AM16" s="201">
        <v>2050</v>
      </c>
    </row>
    <row r="17" spans="3:39" x14ac:dyDescent="0.3">
      <c r="C17" s="178" t="s">
        <v>627</v>
      </c>
      <c r="D17" s="196">
        <f t="shared" ref="D17:AM17" si="1">D2/D$13</f>
        <v>0.10928258651562087</v>
      </c>
      <c r="E17" s="196">
        <f t="shared" si="1"/>
        <v>0.10847188205216275</v>
      </c>
      <c r="F17" s="196">
        <f t="shared" si="1"/>
        <v>0.10763718627140485</v>
      </c>
      <c r="G17" s="196">
        <f t="shared" si="1"/>
        <v>0.10675290471677268</v>
      </c>
      <c r="H17" s="196">
        <f t="shared" si="1"/>
        <v>0.1058936937156425</v>
      </c>
      <c r="I17" s="207">
        <f t="shared" si="1"/>
        <v>0.10549273010705121</v>
      </c>
      <c r="J17" s="196">
        <f t="shared" si="1"/>
        <v>0.10511346898942102</v>
      </c>
      <c r="K17" s="196">
        <f t="shared" si="1"/>
        <v>0.10476875619638511</v>
      </c>
      <c r="L17" s="196">
        <f t="shared" si="1"/>
        <v>0.10445002045926782</v>
      </c>
      <c r="M17" s="196">
        <f t="shared" si="1"/>
        <v>0.10414709901509633</v>
      </c>
      <c r="N17" s="196">
        <f t="shared" si="1"/>
        <v>0.10383817560622548</v>
      </c>
      <c r="O17" s="196">
        <f t="shared" si="1"/>
        <v>0.10351423215014652</v>
      </c>
      <c r="P17" s="196">
        <f t="shared" si="1"/>
        <v>0.10318636555278964</v>
      </c>
      <c r="Q17" s="196">
        <f t="shared" si="1"/>
        <v>0.10285673804439596</v>
      </c>
      <c r="R17" s="196">
        <f t="shared" si="1"/>
        <v>0.10253102289652369</v>
      </c>
      <c r="S17" s="196">
        <f t="shared" si="1"/>
        <v>0.10221435342881741</v>
      </c>
      <c r="T17" s="196">
        <f t="shared" si="1"/>
        <v>0.10190368057830752</v>
      </c>
      <c r="U17" s="196">
        <f t="shared" si="1"/>
        <v>0.10160749677747803</v>
      </c>
      <c r="V17" s="196">
        <f t="shared" si="1"/>
        <v>0.10131966093552586</v>
      </c>
      <c r="W17" s="196">
        <f t="shared" si="1"/>
        <v>0.10104210552773767</v>
      </c>
      <c r="X17" s="196">
        <f t="shared" si="1"/>
        <v>0.10078163192911062</v>
      </c>
      <c r="Y17" s="196">
        <f t="shared" si="1"/>
        <v>0.10053187552533403</v>
      </c>
      <c r="Z17" s="196">
        <f t="shared" si="1"/>
        <v>0.10029195280143031</v>
      </c>
      <c r="AA17" s="196">
        <f t="shared" si="1"/>
        <v>0.10005197455756529</v>
      </c>
      <c r="AB17" s="196">
        <f t="shared" si="1"/>
        <v>9.9815716180899045E-2</v>
      </c>
      <c r="AC17" s="196">
        <f t="shared" si="1"/>
        <v>9.957788944042599E-2</v>
      </c>
      <c r="AD17" s="196">
        <f t="shared" si="1"/>
        <v>9.9345214685475899E-2</v>
      </c>
      <c r="AE17" s="196">
        <f t="shared" si="1"/>
        <v>9.9113789530818591E-2</v>
      </c>
      <c r="AF17" s="196">
        <f t="shared" si="1"/>
        <v>9.8886747895866239E-2</v>
      </c>
      <c r="AG17" s="196">
        <f t="shared" si="1"/>
        <v>9.8666312440698414E-2</v>
      </c>
      <c r="AH17" s="196">
        <f t="shared" si="1"/>
        <v>9.8448506251018073E-2</v>
      </c>
      <c r="AI17" s="196">
        <f t="shared" si="1"/>
        <v>9.8235745660443255E-2</v>
      </c>
      <c r="AJ17" s="196">
        <f t="shared" si="1"/>
        <v>9.8024693585142625E-2</v>
      </c>
      <c r="AK17" s="196">
        <f t="shared" si="1"/>
        <v>9.7818921102878584E-2</v>
      </c>
      <c r="AL17" s="196">
        <f t="shared" si="1"/>
        <v>9.7616361673041774E-2</v>
      </c>
      <c r="AM17" s="196">
        <f t="shared" si="1"/>
        <v>9.7419682365386367E-2</v>
      </c>
    </row>
    <row r="18" spans="3:39" x14ac:dyDescent="0.3">
      <c r="C18" s="178" t="s">
        <v>625</v>
      </c>
      <c r="D18" s="196">
        <f t="shared" ref="D18:AM18" si="2">D3/D$13</f>
        <v>0.15808798196727311</v>
      </c>
      <c r="E18" s="196">
        <f t="shared" si="2"/>
        <v>0.158420755464663</v>
      </c>
      <c r="F18" s="196">
        <f t="shared" si="2"/>
        <v>0.15888127532589291</v>
      </c>
      <c r="G18" s="196">
        <f t="shared" si="2"/>
        <v>0.15949345063238823</v>
      </c>
      <c r="H18" s="196">
        <f t="shared" si="2"/>
        <v>0.16030764479357454</v>
      </c>
      <c r="I18" s="207">
        <f t="shared" si="2"/>
        <v>0.16032078889752713</v>
      </c>
      <c r="J18" s="196">
        <f t="shared" si="2"/>
        <v>0.16038799819259475</v>
      </c>
      <c r="K18" s="196">
        <f t="shared" si="2"/>
        <v>0.16050158110916252</v>
      </c>
      <c r="L18" s="196">
        <f t="shared" si="2"/>
        <v>0.16065438426055773</v>
      </c>
      <c r="M18" s="196">
        <f t="shared" si="2"/>
        <v>0.16081864221752287</v>
      </c>
      <c r="N18" s="196">
        <f t="shared" si="2"/>
        <v>0.16096751545705762</v>
      </c>
      <c r="O18" s="196">
        <f t="shared" si="2"/>
        <v>0.16108372224366035</v>
      </c>
      <c r="P18" s="196">
        <f t="shared" si="2"/>
        <v>0.16114882274255288</v>
      </c>
      <c r="Q18" s="196">
        <f t="shared" si="2"/>
        <v>0.16116860204952138</v>
      </c>
      <c r="R18" s="196">
        <f t="shared" si="2"/>
        <v>0.16115961481741922</v>
      </c>
      <c r="S18" s="196">
        <f t="shared" si="2"/>
        <v>0.16113393278433422</v>
      </c>
      <c r="T18" s="196">
        <f t="shared" si="2"/>
        <v>0.16110263558528265</v>
      </c>
      <c r="U18" s="196">
        <f t="shared" si="2"/>
        <v>0.16106719767667788</v>
      </c>
      <c r="V18" s="196">
        <f t="shared" si="2"/>
        <v>0.16103101940994252</v>
      </c>
      <c r="W18" s="196">
        <f t="shared" si="2"/>
        <v>0.16100777761323529</v>
      </c>
      <c r="X18" s="196">
        <f t="shared" si="2"/>
        <v>0.16099364502728825</v>
      </c>
      <c r="Y18" s="196">
        <f t="shared" si="2"/>
        <v>0.16099165059951556</v>
      </c>
      <c r="Z18" s="196">
        <f t="shared" si="2"/>
        <v>0.16099205112268716</v>
      </c>
      <c r="AA18" s="196">
        <f t="shared" si="2"/>
        <v>0.16099441966064609</v>
      </c>
      <c r="AB18" s="196">
        <f t="shared" si="2"/>
        <v>0.160984693771028</v>
      </c>
      <c r="AC18" s="196">
        <f t="shared" si="2"/>
        <v>0.1609616791057219</v>
      </c>
      <c r="AD18" s="196">
        <f t="shared" si="2"/>
        <v>0.16093249165656054</v>
      </c>
      <c r="AE18" s="196">
        <f t="shared" si="2"/>
        <v>0.16090039406600409</v>
      </c>
      <c r="AF18" s="196">
        <f t="shared" si="2"/>
        <v>0.16086653437453438</v>
      </c>
      <c r="AG18" s="196">
        <f t="shared" si="2"/>
        <v>0.16082994578386264</v>
      </c>
      <c r="AH18" s="196">
        <f t="shared" si="2"/>
        <v>0.16078239869187486</v>
      </c>
      <c r="AI18" s="196">
        <f t="shared" si="2"/>
        <v>0.16072821092818604</v>
      </c>
      <c r="AJ18" s="196">
        <f t="shared" si="2"/>
        <v>0.16066972085220307</v>
      </c>
      <c r="AK18" s="196">
        <f t="shared" si="2"/>
        <v>0.16061345847047015</v>
      </c>
      <c r="AL18" s="196">
        <f t="shared" si="2"/>
        <v>0.16056530496520433</v>
      </c>
      <c r="AM18" s="196">
        <f t="shared" si="2"/>
        <v>0.16053367664826712</v>
      </c>
    </row>
    <row r="19" spans="3:39" x14ac:dyDescent="0.3">
      <c r="C19" s="178" t="s">
        <v>622</v>
      </c>
      <c r="D19" s="196">
        <f t="shared" ref="D19:AM19" si="3">D4/D$13</f>
        <v>1.1645071020984801E-2</v>
      </c>
      <c r="E19" s="196">
        <f t="shared" si="3"/>
        <v>1.1583573527126164E-2</v>
      </c>
      <c r="F19" s="196">
        <f t="shared" si="3"/>
        <v>1.1547468405261102E-2</v>
      </c>
      <c r="G19" s="196">
        <f t="shared" si="3"/>
        <v>1.152917539692829E-2</v>
      </c>
      <c r="H19" s="196">
        <f t="shared" si="3"/>
        <v>1.152356844337348E-2</v>
      </c>
      <c r="I19" s="207">
        <f t="shared" si="3"/>
        <v>1.1528528025195831E-2</v>
      </c>
      <c r="J19" s="196">
        <f t="shared" si="3"/>
        <v>1.1524694384529695E-2</v>
      </c>
      <c r="K19" s="196">
        <f t="shared" si="3"/>
        <v>1.1512969194766277E-2</v>
      </c>
      <c r="L19" s="196">
        <f t="shared" si="3"/>
        <v>1.1494977886246864E-2</v>
      </c>
      <c r="M19" s="196">
        <f t="shared" si="3"/>
        <v>1.1473531441751535E-2</v>
      </c>
      <c r="N19" s="196">
        <f t="shared" si="3"/>
        <v>1.1451460026888145E-2</v>
      </c>
      <c r="O19" s="196">
        <f t="shared" si="3"/>
        <v>1.1433065255624561E-2</v>
      </c>
      <c r="P19" s="196">
        <f t="shared" si="3"/>
        <v>1.1421880462406482E-2</v>
      </c>
      <c r="Q19" s="196">
        <f t="shared" si="3"/>
        <v>1.1416030811987119E-2</v>
      </c>
      <c r="R19" s="196">
        <f t="shared" si="3"/>
        <v>1.141273153128395E-2</v>
      </c>
      <c r="S19" s="196">
        <f t="shared" si="3"/>
        <v>1.1410723831109981E-2</v>
      </c>
      <c r="T19" s="196">
        <f t="shared" si="3"/>
        <v>1.1409394364246161E-2</v>
      </c>
      <c r="U19" s="196">
        <f t="shared" si="3"/>
        <v>1.1408854280256692E-2</v>
      </c>
      <c r="V19" s="196">
        <f t="shared" si="3"/>
        <v>1.1407163690140264E-2</v>
      </c>
      <c r="W19" s="196">
        <f t="shared" si="3"/>
        <v>1.14033510714639E-2</v>
      </c>
      <c r="X19" s="196">
        <f t="shared" si="3"/>
        <v>1.1397343641642091E-2</v>
      </c>
      <c r="Y19" s="196">
        <f t="shared" si="3"/>
        <v>1.1388619068983898E-2</v>
      </c>
      <c r="Z19" s="196">
        <f t="shared" si="3"/>
        <v>1.1378802886841078E-2</v>
      </c>
      <c r="AA19" s="196">
        <f t="shared" si="3"/>
        <v>1.1368290807844151E-2</v>
      </c>
      <c r="AB19" s="196">
        <f t="shared" si="3"/>
        <v>1.1359869769801002E-2</v>
      </c>
      <c r="AC19" s="196">
        <f t="shared" si="3"/>
        <v>1.1353672996055286E-2</v>
      </c>
      <c r="AD19" s="196">
        <f t="shared" si="3"/>
        <v>1.1349114877654503E-2</v>
      </c>
      <c r="AE19" s="196">
        <f t="shared" si="3"/>
        <v>1.1344518408497494E-2</v>
      </c>
      <c r="AF19" s="196">
        <f t="shared" si="3"/>
        <v>1.1340244322264881E-2</v>
      </c>
      <c r="AG19" s="196">
        <f t="shared" si="3"/>
        <v>1.133686681527914E-2</v>
      </c>
      <c r="AH19" s="196">
        <f t="shared" si="3"/>
        <v>1.1335007249709069E-2</v>
      </c>
      <c r="AI19" s="196">
        <f t="shared" si="3"/>
        <v>1.133495136148851E-2</v>
      </c>
      <c r="AJ19" s="196">
        <f t="shared" si="3"/>
        <v>1.1335689699429231E-2</v>
      </c>
      <c r="AK19" s="196">
        <f t="shared" si="3"/>
        <v>1.1336774640867414E-2</v>
      </c>
      <c r="AL19" s="196">
        <f t="shared" si="3"/>
        <v>1.1336746474404026E-2</v>
      </c>
      <c r="AM19" s="196">
        <f t="shared" si="3"/>
        <v>1.133476339073239E-2</v>
      </c>
    </row>
    <row r="20" spans="3:39" x14ac:dyDescent="0.3">
      <c r="C20" s="178" t="s">
        <v>621</v>
      </c>
      <c r="D20" s="196">
        <f t="shared" ref="D20:AM20" si="4">D5/D$13</f>
        <v>2.089769850055407E-2</v>
      </c>
      <c r="E20" s="196">
        <f t="shared" si="4"/>
        <v>2.0784867152108442E-2</v>
      </c>
      <c r="F20" s="196">
        <f t="shared" si="4"/>
        <v>2.0719215546138307E-2</v>
      </c>
      <c r="G20" s="196">
        <f t="shared" si="4"/>
        <v>2.0684480473800546E-2</v>
      </c>
      <c r="H20" s="196">
        <f t="shared" si="4"/>
        <v>2.0671786057478089E-2</v>
      </c>
      <c r="I20" s="207">
        <f t="shared" si="4"/>
        <v>2.0683247712744126E-2</v>
      </c>
      <c r="J20" s="196">
        <f t="shared" si="4"/>
        <v>2.0678750184378529E-2</v>
      </c>
      <c r="K20" s="196">
        <f t="shared" si="4"/>
        <v>2.0659842625629435E-2</v>
      </c>
      <c r="L20" s="196">
        <f t="shared" si="4"/>
        <v>2.0629195340765221E-2</v>
      </c>
      <c r="M20" s="196">
        <f t="shared" si="4"/>
        <v>2.0591558161316002E-2</v>
      </c>
      <c r="N20" s="196">
        <f t="shared" si="4"/>
        <v>2.0551934865469437E-2</v>
      </c>
      <c r="O20" s="196">
        <f t="shared" si="4"/>
        <v>2.0518171102805648E-2</v>
      </c>
      <c r="P20" s="196">
        <f t="shared" si="4"/>
        <v>2.0496939937831998E-2</v>
      </c>
      <c r="Q20" s="196">
        <f t="shared" si="4"/>
        <v>2.048519268728926E-2</v>
      </c>
      <c r="R20" s="196">
        <f t="shared" si="4"/>
        <v>2.0478258185573903E-2</v>
      </c>
      <c r="S20" s="196">
        <f t="shared" si="4"/>
        <v>2.0474110277647551E-2</v>
      </c>
      <c r="T20" s="196">
        <f t="shared" si="4"/>
        <v>2.0471760518472142E-2</v>
      </c>
      <c r="U20" s="196">
        <f t="shared" si="4"/>
        <v>2.047114869383005E-2</v>
      </c>
      <c r="V20" s="196">
        <f t="shared" si="4"/>
        <v>2.0468986497346159E-2</v>
      </c>
      <c r="W20" s="196">
        <f t="shared" si="4"/>
        <v>2.0462974222716267E-2</v>
      </c>
      <c r="X20" s="196">
        <f t="shared" si="4"/>
        <v>2.0453017489310173E-2</v>
      </c>
      <c r="Y20" s="196">
        <f t="shared" si="4"/>
        <v>2.0437998750631736E-2</v>
      </c>
      <c r="Z20" s="196">
        <f t="shared" si="4"/>
        <v>2.042072760807909E-2</v>
      </c>
      <c r="AA20" s="196">
        <f t="shared" si="4"/>
        <v>2.0401877498272856E-2</v>
      </c>
      <c r="AB20" s="196">
        <f t="shared" si="4"/>
        <v>2.0386528558598065E-2</v>
      </c>
      <c r="AC20" s="196">
        <f t="shared" si="4"/>
        <v>2.0374971359852001E-2</v>
      </c>
      <c r="AD20" s="196">
        <f t="shared" si="4"/>
        <v>2.0366278711900058E-2</v>
      </c>
      <c r="AE20" s="196">
        <f t="shared" si="4"/>
        <v>2.0357583751773302E-2</v>
      </c>
      <c r="AF20" s="196">
        <f t="shared" si="4"/>
        <v>2.0349575036092304E-2</v>
      </c>
      <c r="AG20" s="196">
        <f t="shared" si="4"/>
        <v>2.0343389079440045E-2</v>
      </c>
      <c r="AH20" s="196">
        <f t="shared" si="4"/>
        <v>2.0340119795736751E-2</v>
      </c>
      <c r="AI20" s="196">
        <f t="shared" si="4"/>
        <v>2.0340214601388421E-2</v>
      </c>
      <c r="AJ20" s="196">
        <f t="shared" si="4"/>
        <v>2.0341874784815184E-2</v>
      </c>
      <c r="AK20" s="196">
        <f t="shared" si="4"/>
        <v>2.0344396874543674E-2</v>
      </c>
      <c r="AL20" s="196">
        <f t="shared" si="4"/>
        <v>2.0345020448796245E-2</v>
      </c>
      <c r="AM20" s="196">
        <f t="shared" si="4"/>
        <v>2.0342184107007066E-2</v>
      </c>
    </row>
    <row r="21" spans="3:39" x14ac:dyDescent="0.3">
      <c r="C21" s="178" t="s">
        <v>675</v>
      </c>
      <c r="D21" s="196">
        <f t="shared" ref="D21:AM21" si="5">D6/D$13</f>
        <v>2.6095875628470419E-2</v>
      </c>
      <c r="E21" s="196">
        <f t="shared" si="5"/>
        <v>2.6148652632318373E-2</v>
      </c>
      <c r="F21" s="196">
        <f t="shared" si="5"/>
        <v>2.6191652955927371E-2</v>
      </c>
      <c r="G21" s="196">
        <f t="shared" si="5"/>
        <v>2.6264330414415688E-2</v>
      </c>
      <c r="H21" s="196">
        <f t="shared" si="5"/>
        <v>2.6395122023894126E-2</v>
      </c>
      <c r="I21" s="207">
        <f t="shared" si="5"/>
        <v>2.6447589526834337E-2</v>
      </c>
      <c r="J21" s="196">
        <f t="shared" si="5"/>
        <v>2.650043988698288E-2</v>
      </c>
      <c r="K21" s="196">
        <f t="shared" si="5"/>
        <v>2.6558416995156146E-2</v>
      </c>
      <c r="L21" s="196">
        <f t="shared" si="5"/>
        <v>2.6619699938047706E-2</v>
      </c>
      <c r="M21" s="196">
        <f t="shared" si="5"/>
        <v>2.668255925630985E-2</v>
      </c>
      <c r="N21" s="196">
        <f t="shared" si="5"/>
        <v>2.6741466912198631E-2</v>
      </c>
      <c r="O21" s="196">
        <f t="shared" si="5"/>
        <v>2.6794118950685335E-2</v>
      </c>
      <c r="P21" s="196">
        <f t="shared" si="5"/>
        <v>2.6843608887573249E-2</v>
      </c>
      <c r="Q21" s="196">
        <f t="shared" si="5"/>
        <v>2.6889944095505932E-2</v>
      </c>
      <c r="R21" s="196">
        <f t="shared" si="5"/>
        <v>2.6934477441556245E-2</v>
      </c>
      <c r="S21" s="196">
        <f t="shared" si="5"/>
        <v>2.6978321013834863E-2</v>
      </c>
      <c r="T21" s="196">
        <f t="shared" si="5"/>
        <v>2.7020486823623829E-2</v>
      </c>
      <c r="U21" s="196">
        <f t="shared" si="5"/>
        <v>2.7063496309707225E-2</v>
      </c>
      <c r="V21" s="196">
        <f t="shared" si="5"/>
        <v>2.7105599238975642E-2</v>
      </c>
      <c r="W21" s="196">
        <f t="shared" si="5"/>
        <v>2.7147354644169439E-2</v>
      </c>
      <c r="X21" s="196">
        <f t="shared" si="5"/>
        <v>2.719104693674872E-2</v>
      </c>
      <c r="Y21" s="196">
        <f t="shared" si="5"/>
        <v>2.7234973904890263E-2</v>
      </c>
      <c r="Z21" s="196">
        <f t="shared" si="5"/>
        <v>2.7279255641784021E-2</v>
      </c>
      <c r="AA21" s="196">
        <f t="shared" si="5"/>
        <v>2.7321264871689847E-2</v>
      </c>
      <c r="AB21" s="196">
        <f t="shared" si="5"/>
        <v>2.7362284703912342E-2</v>
      </c>
      <c r="AC21" s="196">
        <f t="shared" si="5"/>
        <v>2.7400787816244877E-2</v>
      </c>
      <c r="AD21" s="196">
        <f t="shared" si="5"/>
        <v>2.7438558399125797E-2</v>
      </c>
      <c r="AE21" s="196">
        <f t="shared" si="5"/>
        <v>2.7474473132686379E-2</v>
      </c>
      <c r="AF21" s="196">
        <f t="shared" si="5"/>
        <v>2.7509591063708601E-2</v>
      </c>
      <c r="AG21" s="196">
        <f t="shared" si="5"/>
        <v>2.7544482489258615E-2</v>
      </c>
      <c r="AH21" s="196">
        <f t="shared" si="5"/>
        <v>2.7578071703497409E-2</v>
      </c>
      <c r="AI21" s="196">
        <f t="shared" si="5"/>
        <v>2.7610997281246632E-2</v>
      </c>
      <c r="AJ21" s="196">
        <f t="shared" si="5"/>
        <v>2.7642283782982079E-2</v>
      </c>
      <c r="AK21" s="196">
        <f t="shared" si="5"/>
        <v>2.7672892204948025E-2</v>
      </c>
      <c r="AL21" s="196">
        <f t="shared" si="5"/>
        <v>2.7702247929256841E-2</v>
      </c>
      <c r="AM21" s="196">
        <f t="shared" si="5"/>
        <v>2.7731128177870722E-2</v>
      </c>
    </row>
    <row r="22" spans="3:39" x14ac:dyDescent="0.3">
      <c r="C22" s="178" t="s">
        <v>614</v>
      </c>
      <c r="D22" s="196">
        <f t="shared" ref="D22:AM22" si="6">D7/D$13</f>
        <v>7.5209599371317229E-2</v>
      </c>
      <c r="E22" s="196">
        <f t="shared" si="6"/>
        <v>7.4971333615845862E-2</v>
      </c>
      <c r="F22" s="196">
        <f t="shared" si="6"/>
        <v>7.47436487066762E-2</v>
      </c>
      <c r="G22" s="196">
        <f t="shared" si="6"/>
        <v>7.4529748023831277E-2</v>
      </c>
      <c r="H22" s="196">
        <f t="shared" si="6"/>
        <v>7.4266982807667317E-2</v>
      </c>
      <c r="I22" s="207">
        <f t="shared" si="6"/>
        <v>7.415015111297843E-2</v>
      </c>
      <c r="J22" s="196">
        <f t="shared" si="6"/>
        <v>7.4049169809322302E-2</v>
      </c>
      <c r="K22" s="196">
        <f t="shared" si="6"/>
        <v>7.3967419754782077E-2</v>
      </c>
      <c r="L22" s="196">
        <f t="shared" si="6"/>
        <v>7.3898075686543566E-2</v>
      </c>
      <c r="M22" s="196">
        <f t="shared" si="6"/>
        <v>7.3834984220313343E-2</v>
      </c>
      <c r="N22" s="196">
        <f t="shared" si="6"/>
        <v>7.3762225865114661E-2</v>
      </c>
      <c r="O22" s="196">
        <f t="shared" si="6"/>
        <v>7.3676041149370333E-2</v>
      </c>
      <c r="P22" s="196">
        <f t="shared" si="6"/>
        <v>7.3588816189755407E-2</v>
      </c>
      <c r="Q22" s="196">
        <f t="shared" si="6"/>
        <v>7.3504437126748076E-2</v>
      </c>
      <c r="R22" s="196">
        <f t="shared" si="6"/>
        <v>7.3426398460337688E-2</v>
      </c>
      <c r="S22" s="196">
        <f t="shared" si="6"/>
        <v>7.3355658836955967E-2</v>
      </c>
      <c r="T22" s="196">
        <f t="shared" si="6"/>
        <v>7.3287186739994126E-2</v>
      </c>
      <c r="U22" s="196">
        <f t="shared" si="6"/>
        <v>7.3226760936560734E-2</v>
      </c>
      <c r="V22" s="196">
        <f t="shared" si="6"/>
        <v>7.3167855837215023E-2</v>
      </c>
      <c r="W22" s="196">
        <f t="shared" si="6"/>
        <v>7.3111654905111637E-2</v>
      </c>
      <c r="X22" s="196">
        <f t="shared" si="6"/>
        <v>7.3062844970036275E-2</v>
      </c>
      <c r="Y22" s="196">
        <f t="shared" si="6"/>
        <v>7.301607540561339E-2</v>
      </c>
      <c r="Z22" s="196">
        <f t="shared" si="6"/>
        <v>7.297136168762651E-2</v>
      </c>
      <c r="AA22" s="196">
        <f t="shared" si="6"/>
        <v>7.2922493885818021E-2</v>
      </c>
      <c r="AB22" s="196">
        <f t="shared" si="6"/>
        <v>7.2873490672644065E-2</v>
      </c>
      <c r="AC22" s="196">
        <f t="shared" si="6"/>
        <v>7.2821903315246447E-2</v>
      </c>
      <c r="AD22" s="196">
        <f t="shared" si="6"/>
        <v>7.2774698935804669E-2</v>
      </c>
      <c r="AE22" s="196">
        <f t="shared" si="6"/>
        <v>7.2727820213927721E-2</v>
      </c>
      <c r="AF22" s="196">
        <f t="shared" si="6"/>
        <v>7.2682592210705083E-2</v>
      </c>
      <c r="AG22" s="196">
        <f t="shared" si="6"/>
        <v>7.2640020297072352E-2</v>
      </c>
      <c r="AH22" s="196">
        <f t="shared" si="6"/>
        <v>7.2596397406651206E-2</v>
      </c>
      <c r="AI22" s="196">
        <f t="shared" si="6"/>
        <v>7.2554101387460823E-2</v>
      </c>
      <c r="AJ22" s="196">
        <f t="shared" si="6"/>
        <v>7.2510139203498261E-2</v>
      </c>
      <c r="AK22" s="196">
        <f t="shared" si="6"/>
        <v>7.2467022965795921E-2</v>
      </c>
      <c r="AL22" s="196">
        <f t="shared" si="6"/>
        <v>7.242321974579706E-2</v>
      </c>
      <c r="AM22" s="196">
        <f t="shared" si="6"/>
        <v>7.2380148954704321E-2</v>
      </c>
    </row>
    <row r="23" spans="3:39" x14ac:dyDescent="0.3">
      <c r="C23" s="178" t="s">
        <v>617</v>
      </c>
      <c r="D23" s="196">
        <f t="shared" ref="D23:AM23" si="7">D8/D$13</f>
        <v>6.2805582801113369E-2</v>
      </c>
      <c r="E23" s="196">
        <f t="shared" si="7"/>
        <v>6.3172236877487187E-2</v>
      </c>
      <c r="F23" s="196">
        <f t="shared" si="7"/>
        <v>6.3549750758481377E-2</v>
      </c>
      <c r="G23" s="196">
        <f t="shared" si="7"/>
        <v>6.3820925516205815E-2</v>
      </c>
      <c r="H23" s="196">
        <f t="shared" si="7"/>
        <v>6.4055740246923995E-2</v>
      </c>
      <c r="I23" s="207">
        <f t="shared" si="7"/>
        <v>6.4152648451331173E-2</v>
      </c>
      <c r="J23" s="196">
        <f t="shared" si="7"/>
        <v>6.4206121764219679E-2</v>
      </c>
      <c r="K23" s="196">
        <f t="shared" si="7"/>
        <v>6.419728110878864E-2</v>
      </c>
      <c r="L23" s="196">
        <f t="shared" si="7"/>
        <v>6.4145922950815337E-2</v>
      </c>
      <c r="M23" s="196">
        <f t="shared" si="7"/>
        <v>6.4075788231860636E-2</v>
      </c>
      <c r="N23" s="196">
        <f t="shared" si="7"/>
        <v>6.4016023621689747E-2</v>
      </c>
      <c r="O23" s="196">
        <f t="shared" si="7"/>
        <v>6.399225693622923E-2</v>
      </c>
      <c r="P23" s="196">
        <f t="shared" si="7"/>
        <v>6.4015169598657051E-2</v>
      </c>
      <c r="Q23" s="196">
        <f t="shared" si="7"/>
        <v>6.4067115134697539E-2</v>
      </c>
      <c r="R23" s="196">
        <f t="shared" si="7"/>
        <v>6.4124387204171157E-2</v>
      </c>
      <c r="S23" s="196">
        <f t="shared" si="7"/>
        <v>6.417647469460093E-2</v>
      </c>
      <c r="T23" s="196">
        <f t="shared" si="7"/>
        <v>6.422126674120579E-2</v>
      </c>
      <c r="U23" s="196">
        <f t="shared" si="7"/>
        <v>6.4257220847284816E-2</v>
      </c>
      <c r="V23" s="196">
        <f t="shared" si="7"/>
        <v>6.4281388141470872E-2</v>
      </c>
      <c r="W23" s="196">
        <f t="shared" si="7"/>
        <v>6.4293002886500639E-2</v>
      </c>
      <c r="X23" s="196">
        <f t="shared" si="7"/>
        <v>6.4291553933398873E-2</v>
      </c>
      <c r="Y23" s="196">
        <f t="shared" si="7"/>
        <v>6.428215635913602E-2</v>
      </c>
      <c r="Z23" s="196">
        <f t="shared" si="7"/>
        <v>6.4271010418402247E-2</v>
      </c>
      <c r="AA23" s="196">
        <f t="shared" si="7"/>
        <v>6.4265568083078026E-2</v>
      </c>
      <c r="AB23" s="196">
        <f t="shared" si="7"/>
        <v>6.4274122007115769E-2</v>
      </c>
      <c r="AC23" s="196">
        <f t="shared" si="7"/>
        <v>6.4299648534719728E-2</v>
      </c>
      <c r="AD23" s="196">
        <f t="shared" si="7"/>
        <v>6.4333509495573094E-2</v>
      </c>
      <c r="AE23" s="196">
        <f t="shared" si="7"/>
        <v>6.4364273379716175E-2</v>
      </c>
      <c r="AF23" s="196">
        <f t="shared" si="7"/>
        <v>6.4390586652777693E-2</v>
      </c>
      <c r="AG23" s="196">
        <f t="shared" si="7"/>
        <v>6.4416122534126971E-2</v>
      </c>
      <c r="AH23" s="196">
        <f t="shared" si="7"/>
        <v>6.4445352813482376E-2</v>
      </c>
      <c r="AI23" s="196">
        <f t="shared" si="7"/>
        <v>6.4480955485675909E-2</v>
      </c>
      <c r="AJ23" s="196">
        <f t="shared" si="7"/>
        <v>6.4517246628069791E-2</v>
      </c>
      <c r="AK23" s="196">
        <f t="shared" si="7"/>
        <v>6.4552100450332717E-2</v>
      </c>
      <c r="AL23" s="196">
        <f t="shared" si="7"/>
        <v>6.4578761615284683E-2</v>
      </c>
      <c r="AM23" s="196">
        <f t="shared" si="7"/>
        <v>6.4594303286812288E-2</v>
      </c>
    </row>
    <row r="24" spans="3:39" x14ac:dyDescent="0.3">
      <c r="C24" s="178" t="s">
        <v>608</v>
      </c>
      <c r="D24" s="196">
        <f t="shared" ref="D24:AM24" si="8">D9/D$13</f>
        <v>0.17694903770458459</v>
      </c>
      <c r="E24" s="196">
        <f t="shared" si="8"/>
        <v>0.17682289515943311</v>
      </c>
      <c r="F24" s="196">
        <f t="shared" si="8"/>
        <v>0.17695268908058109</v>
      </c>
      <c r="G24" s="196">
        <f t="shared" si="8"/>
        <v>0.17723241945719542</v>
      </c>
      <c r="H24" s="196">
        <f t="shared" si="8"/>
        <v>0.17758707648930136</v>
      </c>
      <c r="I24" s="207">
        <f t="shared" si="8"/>
        <v>0.17775634744778759</v>
      </c>
      <c r="J24" s="196">
        <f t="shared" si="8"/>
        <v>0.17780231255243512</v>
      </c>
      <c r="K24" s="196">
        <f t="shared" si="8"/>
        <v>0.17773847945057245</v>
      </c>
      <c r="L24" s="196">
        <f t="shared" si="8"/>
        <v>0.17757992121212707</v>
      </c>
      <c r="M24" s="196">
        <f t="shared" si="8"/>
        <v>0.17735576967025676</v>
      </c>
      <c r="N24" s="196">
        <f t="shared" si="8"/>
        <v>0.17709691946733852</v>
      </c>
      <c r="O24" s="196">
        <f t="shared" si="8"/>
        <v>0.17686549238648558</v>
      </c>
      <c r="P24" s="196">
        <f t="shared" si="8"/>
        <v>0.17671841078099629</v>
      </c>
      <c r="Q24" s="196">
        <f t="shared" si="8"/>
        <v>0.17663538041844198</v>
      </c>
      <c r="R24" s="196">
        <f t="shared" si="8"/>
        <v>0.17658649340676238</v>
      </c>
      <c r="S24" s="196">
        <f t="shared" si="8"/>
        <v>0.17656037817567172</v>
      </c>
      <c r="T24" s="196">
        <f t="shared" si="8"/>
        <v>0.17655008724280485</v>
      </c>
      <c r="U24" s="196">
        <f t="shared" si="8"/>
        <v>0.17655618174109403</v>
      </c>
      <c r="V24" s="196">
        <f t="shared" si="8"/>
        <v>0.17655107034898684</v>
      </c>
      <c r="W24" s="196">
        <f t="shared" si="8"/>
        <v>0.17651647434259443</v>
      </c>
      <c r="X24" s="196">
        <f t="shared" si="8"/>
        <v>0.17645150860955514</v>
      </c>
      <c r="Y24" s="196">
        <f t="shared" si="8"/>
        <v>0.17634426220579277</v>
      </c>
      <c r="Z24" s="196">
        <f t="shared" si="8"/>
        <v>0.17621547297183859</v>
      </c>
      <c r="AA24" s="196">
        <f t="shared" si="8"/>
        <v>0.1760671552309804</v>
      </c>
      <c r="AB24" s="196">
        <f t="shared" si="8"/>
        <v>0.17594136206677893</v>
      </c>
      <c r="AC24" s="196">
        <f t="shared" si="8"/>
        <v>0.17583906061314766</v>
      </c>
      <c r="AD24" s="196">
        <f t="shared" si="8"/>
        <v>0.1757552753501947</v>
      </c>
      <c r="AE24" s="196">
        <f t="shared" si="8"/>
        <v>0.17566885825816994</v>
      </c>
      <c r="AF24" s="196">
        <f t="shared" si="8"/>
        <v>0.17558656408846707</v>
      </c>
      <c r="AG24" s="196">
        <f t="shared" si="8"/>
        <v>0.17551767902448617</v>
      </c>
      <c r="AH24" s="196">
        <f t="shared" si="8"/>
        <v>0.17547127567873294</v>
      </c>
      <c r="AI24" s="196">
        <f t="shared" si="8"/>
        <v>0.1754517037906464</v>
      </c>
      <c r="AJ24" s="196">
        <f t="shared" si="8"/>
        <v>0.17544404685936266</v>
      </c>
      <c r="AK24" s="196">
        <f t="shared" si="8"/>
        <v>0.17544516731549986</v>
      </c>
      <c r="AL24" s="196">
        <f t="shared" si="8"/>
        <v>0.17543259898373867</v>
      </c>
      <c r="AM24" s="196">
        <f t="shared" si="8"/>
        <v>0.1753936803154667</v>
      </c>
    </row>
    <row r="25" spans="3:39" x14ac:dyDescent="0.3">
      <c r="C25" s="178" t="s">
        <v>674</v>
      </c>
      <c r="D25" s="196">
        <f t="shared" ref="D25:AM25" si="9">D10/D$13</f>
        <v>0.10194836996932988</v>
      </c>
      <c r="E25" s="196">
        <f t="shared" si="9"/>
        <v>0.10161560862277522</v>
      </c>
      <c r="F25" s="196">
        <f t="shared" si="9"/>
        <v>0.10118252379998975</v>
      </c>
      <c r="G25" s="196">
        <f t="shared" si="9"/>
        <v>0.10071540630838713</v>
      </c>
      <c r="H25" s="196">
        <f t="shared" si="9"/>
        <v>0.10008675735238592</v>
      </c>
      <c r="I25" s="207">
        <f t="shared" si="9"/>
        <v>0.10015327756252744</v>
      </c>
      <c r="J25" s="196">
        <f t="shared" si="9"/>
        <v>0.10028821098635024</v>
      </c>
      <c r="K25" s="196">
        <f t="shared" si="9"/>
        <v>0.10048572589167271</v>
      </c>
      <c r="L25" s="196">
        <f t="shared" si="9"/>
        <v>0.10074500060853982</v>
      </c>
      <c r="M25" s="196">
        <f t="shared" si="9"/>
        <v>0.10105497241670852</v>
      </c>
      <c r="N25" s="196">
        <f t="shared" si="9"/>
        <v>0.10145579236569933</v>
      </c>
      <c r="O25" s="196">
        <f t="shared" si="9"/>
        <v>0.10188976491981844</v>
      </c>
      <c r="P25" s="196">
        <f t="shared" si="9"/>
        <v>0.10223341072664016</v>
      </c>
      <c r="Q25" s="196">
        <f t="shared" si="9"/>
        <v>0.10251690621750931</v>
      </c>
      <c r="R25" s="196">
        <f t="shared" si="9"/>
        <v>0.10276769554660463</v>
      </c>
      <c r="S25" s="196">
        <f t="shared" si="9"/>
        <v>0.10298711017849395</v>
      </c>
      <c r="T25" s="196">
        <f t="shared" si="9"/>
        <v>0.1031996587706456</v>
      </c>
      <c r="U25" s="196">
        <f t="shared" si="9"/>
        <v>0.10336678814171761</v>
      </c>
      <c r="V25" s="196">
        <f t="shared" si="9"/>
        <v>0.10355839269521895</v>
      </c>
      <c r="W25" s="196">
        <f t="shared" si="9"/>
        <v>0.10377083371781234</v>
      </c>
      <c r="X25" s="196">
        <f t="shared" si="9"/>
        <v>0.10397585395915848</v>
      </c>
      <c r="Y25" s="196">
        <f t="shared" si="9"/>
        <v>0.10420381293784804</v>
      </c>
      <c r="Z25" s="196">
        <f t="shared" si="9"/>
        <v>0.10443171536825555</v>
      </c>
      <c r="AA25" s="196">
        <f t="shared" si="9"/>
        <v>0.10469039681198543</v>
      </c>
      <c r="AB25" s="196">
        <f t="shared" si="9"/>
        <v>0.10491593597635662</v>
      </c>
      <c r="AC25" s="196">
        <f t="shared" si="9"/>
        <v>0.10512578953984451</v>
      </c>
      <c r="AD25" s="196">
        <f t="shared" si="9"/>
        <v>0.10529293234987422</v>
      </c>
      <c r="AE25" s="196">
        <f t="shared" si="9"/>
        <v>0.10547844707952664</v>
      </c>
      <c r="AF25" s="196">
        <f t="shared" si="9"/>
        <v>0.10566290359781595</v>
      </c>
      <c r="AG25" s="196">
        <f t="shared" si="9"/>
        <v>0.10582558514784975</v>
      </c>
      <c r="AH25" s="196">
        <f t="shared" si="9"/>
        <v>0.10597933818673658</v>
      </c>
      <c r="AI25" s="196">
        <f t="shared" si="9"/>
        <v>0.10610098148065915</v>
      </c>
      <c r="AJ25" s="196">
        <f t="shared" si="9"/>
        <v>0.10623037408180257</v>
      </c>
      <c r="AK25" s="196">
        <f t="shared" si="9"/>
        <v>0.10635017056124157</v>
      </c>
      <c r="AL25" s="196">
        <f t="shared" si="9"/>
        <v>0.1064936012776129</v>
      </c>
      <c r="AM25" s="196">
        <f t="shared" si="9"/>
        <v>0.10665505874832414</v>
      </c>
    </row>
    <row r="26" spans="3:39" x14ac:dyDescent="0.3">
      <c r="C26" s="178" t="s">
        <v>611</v>
      </c>
      <c r="D26" s="196">
        <f t="shared" ref="D26:AM26" si="10">D11/D$13</f>
        <v>9.6865525562843516E-2</v>
      </c>
      <c r="E26" s="196">
        <f t="shared" si="10"/>
        <v>9.661020999890893E-2</v>
      </c>
      <c r="F26" s="196">
        <f t="shared" si="10"/>
        <v>9.6361977906511201E-2</v>
      </c>
      <c r="G26" s="196">
        <f t="shared" si="10"/>
        <v>9.6141304575396436E-2</v>
      </c>
      <c r="H26" s="196">
        <f t="shared" si="10"/>
        <v>9.5879765131315603E-2</v>
      </c>
      <c r="I26" s="207">
        <f t="shared" si="10"/>
        <v>9.5755816267965033E-2</v>
      </c>
      <c r="J26" s="196">
        <f t="shared" si="10"/>
        <v>9.5650652502740421E-2</v>
      </c>
      <c r="K26" s="196">
        <f t="shared" si="10"/>
        <v>9.5569691715953892E-2</v>
      </c>
      <c r="L26" s="196">
        <f t="shared" si="10"/>
        <v>9.5504540828964229E-2</v>
      </c>
      <c r="M26" s="196">
        <f t="shared" si="10"/>
        <v>9.5447451308003847E-2</v>
      </c>
      <c r="N26" s="196">
        <f t="shared" si="10"/>
        <v>9.5377679107326779E-2</v>
      </c>
      <c r="O26" s="196">
        <f t="shared" si="10"/>
        <v>9.5290207796525195E-2</v>
      </c>
      <c r="P26" s="196">
        <f t="shared" si="10"/>
        <v>9.5200376904173878E-2</v>
      </c>
      <c r="Q26" s="196">
        <f t="shared" si="10"/>
        <v>9.511271952856018E-2</v>
      </c>
      <c r="R26" s="196">
        <f t="shared" si="10"/>
        <v>9.5031826540406331E-2</v>
      </c>
      <c r="S26" s="196">
        <f t="shared" si="10"/>
        <v>9.495921599679312E-2</v>
      </c>
      <c r="T26" s="196">
        <f t="shared" si="10"/>
        <v>9.4888560124826521E-2</v>
      </c>
      <c r="U26" s="196">
        <f t="shared" si="10"/>
        <v>9.4827706617458596E-2</v>
      </c>
      <c r="V26" s="196">
        <f t="shared" si="10"/>
        <v>9.4768378956261265E-2</v>
      </c>
      <c r="W26" s="196">
        <f t="shared" si="10"/>
        <v>9.4712184514170614E-2</v>
      </c>
      <c r="X26" s="196">
        <f t="shared" si="10"/>
        <v>9.4665419653310365E-2</v>
      </c>
      <c r="Y26" s="196">
        <f t="shared" si="10"/>
        <v>9.462133596961872E-2</v>
      </c>
      <c r="Z26" s="196">
        <f t="shared" si="10"/>
        <v>9.457991545713379E-2</v>
      </c>
      <c r="AA26" s="196">
        <f t="shared" si="10"/>
        <v>9.4532948125647137E-2</v>
      </c>
      <c r="AB26" s="196">
        <f t="shared" si="10"/>
        <v>9.4485585428233571E-2</v>
      </c>
      <c r="AC26" s="196">
        <f t="shared" si="10"/>
        <v>9.4434464728254564E-2</v>
      </c>
      <c r="AD26" s="196">
        <f t="shared" si="10"/>
        <v>9.4388142167753195E-2</v>
      </c>
      <c r="AE26" s="196">
        <f t="shared" si="10"/>
        <v>9.4341542733876321E-2</v>
      </c>
      <c r="AF26" s="196">
        <f t="shared" si="10"/>
        <v>9.4296558084667567E-2</v>
      </c>
      <c r="AG26" s="196">
        <f t="shared" si="10"/>
        <v>9.425463882541682E-2</v>
      </c>
      <c r="AH26" s="196">
        <f t="shared" si="10"/>
        <v>9.4211082232548496E-2</v>
      </c>
      <c r="AI26" s="196">
        <f t="shared" si="10"/>
        <v>9.416884768750243E-2</v>
      </c>
      <c r="AJ26" s="196">
        <f t="shared" si="10"/>
        <v>9.4124039561584313E-2</v>
      </c>
      <c r="AK26" s="196">
        <f t="shared" si="10"/>
        <v>9.4080172740192661E-2</v>
      </c>
      <c r="AL26" s="196">
        <f t="shared" si="10"/>
        <v>9.40349950643833E-2</v>
      </c>
      <c r="AM26" s="196">
        <f t="shared" si="10"/>
        <v>9.3990623771597989E-2</v>
      </c>
    </row>
    <row r="27" spans="3:39" x14ac:dyDescent="0.3">
      <c r="C27" s="178" t="s">
        <v>605</v>
      </c>
      <c r="D27" s="196">
        <f t="shared" ref="D27:AM27" si="11">D12/D$13</f>
        <v>0.16021267095790828</v>
      </c>
      <c r="E27" s="196">
        <f t="shared" si="11"/>
        <v>0.16139798489717086</v>
      </c>
      <c r="F27" s="196">
        <f t="shared" si="11"/>
        <v>0.16223261124313573</v>
      </c>
      <c r="G27" s="196">
        <f t="shared" si="11"/>
        <v>0.16283585448467863</v>
      </c>
      <c r="H27" s="196">
        <f t="shared" si="11"/>
        <v>0.16333186293844307</v>
      </c>
      <c r="I27" s="207">
        <f t="shared" si="11"/>
        <v>0.16355887488805776</v>
      </c>
      <c r="J27" s="196">
        <f t="shared" si="11"/>
        <v>0.1637981807470254</v>
      </c>
      <c r="K27" s="196">
        <f t="shared" si="11"/>
        <v>0.16403983595713068</v>
      </c>
      <c r="L27" s="196">
        <f t="shared" si="11"/>
        <v>0.16427826082812455</v>
      </c>
      <c r="M27" s="196">
        <f t="shared" si="11"/>
        <v>0.16451764406086036</v>
      </c>
      <c r="N27" s="196">
        <f t="shared" si="11"/>
        <v>0.16474080670499167</v>
      </c>
      <c r="O27" s="196">
        <f t="shared" si="11"/>
        <v>0.16494292710864888</v>
      </c>
      <c r="P27" s="196">
        <f t="shared" si="11"/>
        <v>0.1651461982166231</v>
      </c>
      <c r="Q27" s="196">
        <f t="shared" si="11"/>
        <v>0.16534693388534311</v>
      </c>
      <c r="R27" s="196">
        <f t="shared" si="11"/>
        <v>0.16554709396936082</v>
      </c>
      <c r="S27" s="196">
        <f t="shared" si="11"/>
        <v>0.16574972078174041</v>
      </c>
      <c r="T27" s="196">
        <f t="shared" si="11"/>
        <v>0.16594528251059087</v>
      </c>
      <c r="U27" s="196">
        <f t="shared" si="11"/>
        <v>0.16614714797793434</v>
      </c>
      <c r="V27" s="196">
        <f t="shared" si="11"/>
        <v>0.16634048424891656</v>
      </c>
      <c r="W27" s="196">
        <f t="shared" si="11"/>
        <v>0.16653228655448768</v>
      </c>
      <c r="X27" s="196">
        <f t="shared" si="11"/>
        <v>0.16673613385044112</v>
      </c>
      <c r="Y27" s="196">
        <f t="shared" si="11"/>
        <v>0.16694723927263547</v>
      </c>
      <c r="Z27" s="196">
        <f t="shared" si="11"/>
        <v>0.16716773403592169</v>
      </c>
      <c r="AA27" s="196">
        <f t="shared" si="11"/>
        <v>0.16738361046647271</v>
      </c>
      <c r="AB27" s="196">
        <f t="shared" si="11"/>
        <v>0.16760041086463251</v>
      </c>
      <c r="AC27" s="196">
        <f t="shared" si="11"/>
        <v>0.16781013255048716</v>
      </c>
      <c r="AD27" s="196">
        <f t="shared" si="11"/>
        <v>0.16802378337008339</v>
      </c>
      <c r="AE27" s="196">
        <f t="shared" si="11"/>
        <v>0.16822829944500325</v>
      </c>
      <c r="AF27" s="196">
        <f t="shared" si="11"/>
        <v>0.16842810267310027</v>
      </c>
      <c r="AG27" s="196">
        <f t="shared" si="11"/>
        <v>0.16862495756250898</v>
      </c>
      <c r="AH27" s="196">
        <f t="shared" si="11"/>
        <v>0.16881244999001216</v>
      </c>
      <c r="AI27" s="196">
        <f t="shared" si="11"/>
        <v>0.16899329033530244</v>
      </c>
      <c r="AJ27" s="196">
        <f t="shared" si="11"/>
        <v>0.16915989096111037</v>
      </c>
      <c r="AK27" s="196">
        <f t="shared" si="11"/>
        <v>0.16931892267322948</v>
      </c>
      <c r="AL27" s="196">
        <f t="shared" si="11"/>
        <v>0.16947114182248019</v>
      </c>
      <c r="AM27" s="196">
        <f t="shared" si="11"/>
        <v>0.16962475023383081</v>
      </c>
    </row>
    <row r="28" spans="3:39" x14ac:dyDescent="0.3">
      <c r="C28" s="178" t="s">
        <v>673</v>
      </c>
      <c r="D28" s="196">
        <f t="shared" ref="D28:AM28" si="12">D13/D$13</f>
        <v>1</v>
      </c>
      <c r="E28" s="196">
        <f t="shared" si="12"/>
        <v>1</v>
      </c>
      <c r="F28" s="196">
        <f t="shared" si="12"/>
        <v>1</v>
      </c>
      <c r="G28" s="196">
        <f t="shared" si="12"/>
        <v>1</v>
      </c>
      <c r="H28" s="196">
        <f t="shared" si="12"/>
        <v>1</v>
      </c>
      <c r="I28" s="207">
        <f t="shared" si="12"/>
        <v>1</v>
      </c>
      <c r="J28" s="196">
        <f t="shared" si="12"/>
        <v>1</v>
      </c>
      <c r="K28" s="196">
        <f t="shared" si="12"/>
        <v>1</v>
      </c>
      <c r="L28" s="196">
        <f t="shared" si="12"/>
        <v>1</v>
      </c>
      <c r="M28" s="196">
        <f t="shared" si="12"/>
        <v>1</v>
      </c>
      <c r="N28" s="196">
        <f t="shared" si="12"/>
        <v>1</v>
      </c>
      <c r="O28" s="196">
        <f t="shared" si="12"/>
        <v>1</v>
      </c>
      <c r="P28" s="196">
        <f t="shared" si="12"/>
        <v>1</v>
      </c>
      <c r="Q28" s="196">
        <f t="shared" si="12"/>
        <v>1</v>
      </c>
      <c r="R28" s="196">
        <f t="shared" si="12"/>
        <v>1</v>
      </c>
      <c r="S28" s="196">
        <f t="shared" si="12"/>
        <v>1</v>
      </c>
      <c r="T28" s="196">
        <f t="shared" si="12"/>
        <v>1</v>
      </c>
      <c r="U28" s="196">
        <f t="shared" si="12"/>
        <v>1</v>
      </c>
      <c r="V28" s="196">
        <f t="shared" si="12"/>
        <v>1</v>
      </c>
      <c r="W28" s="196">
        <f t="shared" si="12"/>
        <v>1</v>
      </c>
      <c r="X28" s="196">
        <f t="shared" si="12"/>
        <v>1</v>
      </c>
      <c r="Y28" s="196">
        <f t="shared" si="12"/>
        <v>1</v>
      </c>
      <c r="Z28" s="196">
        <f t="shared" si="12"/>
        <v>1</v>
      </c>
      <c r="AA28" s="196">
        <f t="shared" si="12"/>
        <v>1</v>
      </c>
      <c r="AB28" s="196">
        <f t="shared" si="12"/>
        <v>1</v>
      </c>
      <c r="AC28" s="196">
        <f t="shared" si="12"/>
        <v>1</v>
      </c>
      <c r="AD28" s="196">
        <f t="shared" si="12"/>
        <v>1</v>
      </c>
      <c r="AE28" s="196">
        <f t="shared" si="12"/>
        <v>1</v>
      </c>
      <c r="AF28" s="196">
        <f t="shared" si="12"/>
        <v>1</v>
      </c>
      <c r="AG28" s="196">
        <f t="shared" si="12"/>
        <v>1</v>
      </c>
      <c r="AH28" s="196">
        <f t="shared" si="12"/>
        <v>1</v>
      </c>
      <c r="AI28" s="196">
        <f t="shared" si="12"/>
        <v>1</v>
      </c>
      <c r="AJ28" s="196">
        <f t="shared" si="12"/>
        <v>1</v>
      </c>
      <c r="AK28" s="196">
        <f t="shared" si="12"/>
        <v>1</v>
      </c>
      <c r="AL28" s="196">
        <f t="shared" si="12"/>
        <v>1</v>
      </c>
      <c r="AM28" s="196">
        <f t="shared" si="12"/>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28544-F1EE-41A0-9473-2D74014D2791}">
  <sheetPr codeName="Sheet13"/>
  <dimension ref="A1:AV126"/>
  <sheetViews>
    <sheetView topLeftCell="A91" workbookViewId="0">
      <selection activeCell="R78" sqref="R78"/>
    </sheetView>
  </sheetViews>
  <sheetFormatPr defaultColWidth="10.6640625" defaultRowHeight="15.6" x14ac:dyDescent="0.3"/>
  <cols>
    <col min="1" max="1" width="10.6640625" style="178"/>
    <col min="2" max="2" width="34.6640625" style="178" customWidth="1"/>
    <col min="3" max="3" width="15.6640625" style="178" customWidth="1"/>
    <col min="4" max="4" width="13.6640625" style="178" customWidth="1"/>
    <col min="5" max="5" width="12.5546875" style="178" customWidth="1"/>
    <col min="6" max="6" width="14.6640625" style="178" customWidth="1"/>
    <col min="7" max="8" width="13.109375" style="178" customWidth="1"/>
    <col min="9" max="9" width="13.88671875" style="178" bestFit="1" customWidth="1"/>
    <col min="10" max="10" width="27.33203125" style="178" customWidth="1"/>
    <col min="11" max="11" width="13.6640625" style="178" bestFit="1" customWidth="1"/>
    <col min="12" max="12" width="14.88671875" style="178" bestFit="1" customWidth="1"/>
    <col min="13" max="13" width="17.6640625" style="178" bestFit="1" customWidth="1"/>
    <col min="14" max="14" width="24.33203125" style="178" bestFit="1" customWidth="1"/>
    <col min="15" max="16384" width="10.6640625" style="178"/>
  </cols>
  <sheetData>
    <row r="1" spans="1:48" x14ac:dyDescent="0.3">
      <c r="B1" s="178">
        <v>1</v>
      </c>
      <c r="E1" s="178">
        <v>2</v>
      </c>
      <c r="H1" s="178">
        <v>3</v>
      </c>
      <c r="K1" s="178">
        <v>4</v>
      </c>
      <c r="N1" s="178">
        <v>5</v>
      </c>
      <c r="Q1" s="178">
        <v>6</v>
      </c>
      <c r="T1" s="178">
        <v>7</v>
      </c>
      <c r="W1" s="178">
        <v>8</v>
      </c>
      <c r="Z1" s="178">
        <v>9</v>
      </c>
      <c r="AC1" s="178">
        <v>10</v>
      </c>
      <c r="AF1" s="178">
        <v>11</v>
      </c>
      <c r="AI1" s="178">
        <v>12</v>
      </c>
      <c r="AL1" s="178">
        <v>13</v>
      </c>
    </row>
    <row r="2" spans="1:48" x14ac:dyDescent="0.3">
      <c r="C2" s="178" t="s">
        <v>525</v>
      </c>
      <c r="E2" s="178" t="s">
        <v>526</v>
      </c>
      <c r="H2" s="178" t="s">
        <v>528</v>
      </c>
      <c r="K2" s="178" t="s">
        <v>510</v>
      </c>
      <c r="N2" s="178" t="s">
        <v>530</v>
      </c>
      <c r="Q2" s="178" t="s">
        <v>531</v>
      </c>
      <c r="T2" s="178" t="s">
        <v>527</v>
      </c>
      <c r="W2" s="178" t="s">
        <v>529</v>
      </c>
      <c r="Z2" s="178" t="s">
        <v>532</v>
      </c>
      <c r="AC2" s="178" t="s">
        <v>533</v>
      </c>
      <c r="AF2" s="178" t="s">
        <v>534</v>
      </c>
      <c r="AI2" s="178" t="s">
        <v>535</v>
      </c>
      <c r="AL2" s="178" t="s">
        <v>536</v>
      </c>
      <c r="AO2" s="178" t="s">
        <v>672</v>
      </c>
      <c r="AR2" s="178" t="s">
        <v>671</v>
      </c>
      <c r="AU2" s="178" t="s">
        <v>670</v>
      </c>
    </row>
    <row r="3" spans="1:48" x14ac:dyDescent="0.3">
      <c r="A3" s="178" t="s">
        <v>629</v>
      </c>
      <c r="B3" s="188" t="s">
        <v>512</v>
      </c>
      <c r="C3" s="185"/>
      <c r="E3" s="205" t="s">
        <v>512</v>
      </c>
      <c r="F3" s="186"/>
      <c r="H3" s="205" t="s">
        <v>512</v>
      </c>
      <c r="I3" s="186"/>
      <c r="K3" s="205" t="s">
        <v>512</v>
      </c>
      <c r="L3" s="186"/>
      <c r="N3" s="205" t="s">
        <v>512</v>
      </c>
      <c r="O3" s="181"/>
      <c r="Q3" s="205" t="s">
        <v>512</v>
      </c>
      <c r="R3" s="181"/>
      <c r="T3" s="205" t="s">
        <v>512</v>
      </c>
      <c r="U3" s="186"/>
      <c r="W3" s="205" t="s">
        <v>512</v>
      </c>
      <c r="X3" s="186"/>
      <c r="Z3" s="205" t="s">
        <v>512</v>
      </c>
      <c r="AA3" s="181"/>
      <c r="AC3" s="206" t="s">
        <v>512</v>
      </c>
      <c r="AD3" s="187"/>
      <c r="AF3" s="205" t="s">
        <v>512</v>
      </c>
      <c r="AG3" s="186"/>
      <c r="AI3" s="188" t="s">
        <v>512</v>
      </c>
      <c r="AJ3" s="185"/>
      <c r="AL3" s="205" t="s">
        <v>512</v>
      </c>
      <c r="AM3" s="184"/>
      <c r="AO3" s="205" t="s">
        <v>512</v>
      </c>
      <c r="AR3" s="205" t="s">
        <v>512</v>
      </c>
      <c r="AU3" s="205" t="s">
        <v>512</v>
      </c>
    </row>
    <row r="4" spans="1:48" x14ac:dyDescent="0.3">
      <c r="B4" s="182" t="s">
        <v>513</v>
      </c>
      <c r="C4" s="181">
        <v>0</v>
      </c>
      <c r="E4" s="203" t="s">
        <v>513</v>
      </c>
      <c r="F4" s="181">
        <v>0</v>
      </c>
      <c r="H4" s="203" t="s">
        <v>513</v>
      </c>
      <c r="I4" s="181">
        <v>0</v>
      </c>
      <c r="K4" s="203" t="s">
        <v>513</v>
      </c>
      <c r="L4" s="181">
        <v>0</v>
      </c>
      <c r="N4" s="203" t="s">
        <v>513</v>
      </c>
      <c r="O4" s="181">
        <v>19.444444444444443</v>
      </c>
      <c r="Q4" s="203" t="s">
        <v>513</v>
      </c>
      <c r="R4" s="181">
        <v>0</v>
      </c>
      <c r="T4" s="203" t="s">
        <v>513</v>
      </c>
      <c r="U4" s="181">
        <v>0</v>
      </c>
      <c r="W4" s="203" t="s">
        <v>513</v>
      </c>
      <c r="X4" s="181">
        <v>0</v>
      </c>
      <c r="Z4" s="203" t="s">
        <v>513</v>
      </c>
      <c r="AA4" s="181">
        <v>0</v>
      </c>
      <c r="AC4" s="204" t="s">
        <v>513</v>
      </c>
      <c r="AD4" s="181">
        <v>0</v>
      </c>
      <c r="AF4" s="203" t="s">
        <v>513</v>
      </c>
      <c r="AG4" s="181">
        <v>38.888888888888886</v>
      </c>
      <c r="AI4" s="182" t="s">
        <v>513</v>
      </c>
      <c r="AJ4" s="181">
        <v>0</v>
      </c>
      <c r="AL4" s="203" t="s">
        <v>513</v>
      </c>
      <c r="AM4" s="181">
        <v>0</v>
      </c>
      <c r="AO4" s="203" t="s">
        <v>513</v>
      </c>
      <c r="AP4" s="178">
        <v>0</v>
      </c>
      <c r="AR4" s="203" t="s">
        <v>513</v>
      </c>
      <c r="AS4" s="178">
        <v>10488.897280000001</v>
      </c>
      <c r="AU4" s="203" t="s">
        <v>513</v>
      </c>
      <c r="AV4" s="178">
        <v>0</v>
      </c>
    </row>
    <row r="5" spans="1:48" x14ac:dyDescent="0.3">
      <c r="B5" s="182" t="s">
        <v>143</v>
      </c>
      <c r="C5" s="181">
        <v>19680.555555555555</v>
      </c>
      <c r="E5" s="203" t="s">
        <v>143</v>
      </c>
      <c r="F5" s="181">
        <v>6041913.888888889</v>
      </c>
      <c r="H5" s="203" t="s">
        <v>143</v>
      </c>
      <c r="I5" s="181">
        <v>301736.11111111112</v>
      </c>
      <c r="K5" s="203" t="s">
        <v>143</v>
      </c>
      <c r="L5" s="181">
        <v>33680.555555555555</v>
      </c>
      <c r="N5" s="203" t="s">
        <v>143</v>
      </c>
      <c r="O5" s="181">
        <v>267991.66666666669</v>
      </c>
      <c r="Q5" s="203" t="s">
        <v>143</v>
      </c>
      <c r="R5" s="181">
        <v>158791.66666666666</v>
      </c>
      <c r="T5" s="203" t="s">
        <v>143</v>
      </c>
      <c r="U5" s="181">
        <v>3586430.5555555555</v>
      </c>
      <c r="W5" s="203" t="s">
        <v>143</v>
      </c>
      <c r="X5" s="181">
        <v>5082066.666666667</v>
      </c>
      <c r="Z5" s="203" t="s">
        <v>143</v>
      </c>
      <c r="AA5" s="181">
        <v>1485355.5555555555</v>
      </c>
      <c r="AC5" s="204" t="s">
        <v>143</v>
      </c>
      <c r="AD5" s="181">
        <v>485038.88888888888</v>
      </c>
      <c r="AF5" s="203" t="s">
        <v>143</v>
      </c>
      <c r="AG5" s="181">
        <v>182338.88888888888</v>
      </c>
      <c r="AI5" s="182" t="s">
        <v>143</v>
      </c>
      <c r="AJ5" s="181">
        <v>43372.222222222219</v>
      </c>
      <c r="AL5" s="203" t="s">
        <v>143</v>
      </c>
      <c r="AM5" s="181">
        <v>163205.55555555556</v>
      </c>
      <c r="AO5" s="203" t="s">
        <v>143</v>
      </c>
      <c r="AP5" s="178">
        <v>106444.52960000001</v>
      </c>
      <c r="AR5" s="203" t="s">
        <v>143</v>
      </c>
      <c r="AS5" s="178">
        <v>742989.48328000016</v>
      </c>
      <c r="AU5" s="203" t="s">
        <v>143</v>
      </c>
      <c r="AV5" s="178">
        <v>175339.02916000003</v>
      </c>
    </row>
    <row r="6" spans="1:48" x14ac:dyDescent="0.3">
      <c r="B6" s="182" t="s">
        <v>514</v>
      </c>
      <c r="C6" s="181">
        <v>88561.111111111109</v>
      </c>
      <c r="E6" s="203" t="s">
        <v>514</v>
      </c>
      <c r="F6" s="181">
        <v>2326391.6666666665</v>
      </c>
      <c r="H6" s="203" t="s">
        <v>514</v>
      </c>
      <c r="I6" s="181">
        <v>264338.88888888888</v>
      </c>
      <c r="K6" s="203" t="s">
        <v>514</v>
      </c>
      <c r="L6" s="181">
        <v>28511.111111111109</v>
      </c>
      <c r="N6" s="203" t="s">
        <v>514</v>
      </c>
      <c r="O6" s="181">
        <v>272316.66666666669</v>
      </c>
      <c r="Q6" s="203" t="s">
        <v>514</v>
      </c>
      <c r="R6" s="181">
        <v>63638.888888888891</v>
      </c>
      <c r="T6" s="203" t="s">
        <v>514</v>
      </c>
      <c r="U6" s="181">
        <v>2348469.4444444445</v>
      </c>
      <c r="W6" s="203" t="s">
        <v>514</v>
      </c>
      <c r="X6" s="181">
        <v>628386.11111111112</v>
      </c>
      <c r="Z6" s="203" t="s">
        <v>514</v>
      </c>
      <c r="AA6" s="181">
        <v>1137911.111111111</v>
      </c>
      <c r="AC6" s="204" t="s">
        <v>514</v>
      </c>
      <c r="AD6" s="181">
        <v>514130.55555555556</v>
      </c>
      <c r="AF6" s="203" t="s">
        <v>514</v>
      </c>
      <c r="AG6" s="181">
        <v>269744.44444444444</v>
      </c>
      <c r="AI6" s="182" t="s">
        <v>514</v>
      </c>
      <c r="AJ6" s="181">
        <v>47966.666666666664</v>
      </c>
      <c r="AL6" s="203" t="s">
        <v>514</v>
      </c>
      <c r="AM6" s="181">
        <v>420180.55555555556</v>
      </c>
      <c r="AO6" s="203" t="s">
        <v>514</v>
      </c>
      <c r="AP6" s="178">
        <v>80500.064400000003</v>
      </c>
      <c r="AR6" s="203" t="s">
        <v>514</v>
      </c>
      <c r="AS6" s="178">
        <v>221016.84348000001</v>
      </c>
      <c r="AU6" s="203" t="s">
        <v>514</v>
      </c>
      <c r="AV6" s="178">
        <v>292500.234</v>
      </c>
    </row>
    <row r="7" spans="1:48" x14ac:dyDescent="0.3">
      <c r="B7" s="182" t="s">
        <v>515</v>
      </c>
      <c r="C7" s="181">
        <v>47897.222222222219</v>
      </c>
      <c r="E7" s="203" t="s">
        <v>515</v>
      </c>
      <c r="F7" s="181">
        <v>91075</v>
      </c>
      <c r="H7" s="203" t="s">
        <v>515</v>
      </c>
      <c r="I7" s="181">
        <v>77844.444444444438</v>
      </c>
      <c r="K7" s="203" t="s">
        <v>515</v>
      </c>
      <c r="L7" s="181">
        <v>12088.888888888889</v>
      </c>
      <c r="N7" s="203" t="s">
        <v>515</v>
      </c>
      <c r="O7" s="181">
        <v>73086.111111111109</v>
      </c>
      <c r="Q7" s="203" t="s">
        <v>515</v>
      </c>
      <c r="R7" s="181">
        <v>28130.555555555555</v>
      </c>
      <c r="T7" s="203" t="s">
        <v>515</v>
      </c>
      <c r="U7" s="181">
        <v>269230.55555555556</v>
      </c>
      <c r="W7" s="203" t="s">
        <v>515</v>
      </c>
      <c r="X7" s="181">
        <v>121627.77777777778</v>
      </c>
      <c r="Z7" s="203" t="s">
        <v>515</v>
      </c>
      <c r="AA7" s="181">
        <v>95611.111111111109</v>
      </c>
      <c r="AC7" s="204" t="s">
        <v>515</v>
      </c>
      <c r="AD7" s="181">
        <v>45977.777777777781</v>
      </c>
      <c r="AF7" s="203" t="s">
        <v>515</v>
      </c>
      <c r="AG7" s="181">
        <v>43688.888888888891</v>
      </c>
      <c r="AI7" s="182" t="s">
        <v>515</v>
      </c>
      <c r="AJ7" s="181">
        <v>12955.555555555555</v>
      </c>
      <c r="AL7" s="203" t="s">
        <v>515</v>
      </c>
      <c r="AM7" s="181">
        <v>71716.666666666672</v>
      </c>
      <c r="AO7" s="203" t="s">
        <v>515</v>
      </c>
      <c r="AP7" s="178">
        <v>22216.684440000001</v>
      </c>
      <c r="AR7" s="203" t="s">
        <v>515</v>
      </c>
      <c r="AS7" s="178">
        <v>74091.725940000004</v>
      </c>
      <c r="AU7" s="203" t="s">
        <v>515</v>
      </c>
      <c r="AV7" s="178">
        <v>59002.824980000005</v>
      </c>
    </row>
    <row r="8" spans="1:48" x14ac:dyDescent="0.3">
      <c r="B8" s="182" t="s">
        <v>516</v>
      </c>
      <c r="C8" s="181">
        <v>29005.555555555555</v>
      </c>
      <c r="E8" s="203" t="s">
        <v>516</v>
      </c>
      <c r="F8" s="181">
        <v>1817169.4444444445</v>
      </c>
      <c r="H8" s="203" t="s">
        <v>516</v>
      </c>
      <c r="I8" s="181">
        <v>296255.55555555556</v>
      </c>
      <c r="K8" s="203" t="s">
        <v>516</v>
      </c>
      <c r="L8" s="181">
        <v>24369.444444444445</v>
      </c>
      <c r="N8" s="203" t="s">
        <v>516</v>
      </c>
      <c r="O8" s="181">
        <v>225616.66666666666</v>
      </c>
      <c r="Q8" s="203" t="s">
        <v>516</v>
      </c>
      <c r="R8" s="181">
        <v>124500</v>
      </c>
      <c r="T8" s="203" t="s">
        <v>516</v>
      </c>
      <c r="U8" s="181">
        <v>2328883.3333333335</v>
      </c>
      <c r="W8" s="203" t="s">
        <v>516</v>
      </c>
      <c r="X8" s="181">
        <v>542272.22222222225</v>
      </c>
      <c r="Z8" s="203" t="s">
        <v>516</v>
      </c>
      <c r="AA8" s="181">
        <v>632727.77777777775</v>
      </c>
      <c r="AC8" s="204" t="s">
        <v>516</v>
      </c>
      <c r="AD8" s="181">
        <v>341730.55555555556</v>
      </c>
      <c r="AF8" s="203" t="s">
        <v>516</v>
      </c>
      <c r="AG8" s="181">
        <v>55225</v>
      </c>
      <c r="AI8" s="182" t="s">
        <v>516</v>
      </c>
      <c r="AJ8" s="181">
        <v>113711.11111111111</v>
      </c>
      <c r="AL8" s="203" t="s">
        <v>516</v>
      </c>
      <c r="AM8" s="181">
        <v>218247.22222222222</v>
      </c>
      <c r="AO8" s="203" t="s">
        <v>516</v>
      </c>
      <c r="AP8" s="178">
        <v>166402.91089999999</v>
      </c>
      <c r="AR8" s="203" t="s">
        <v>516</v>
      </c>
      <c r="AS8" s="178">
        <v>499778.17760000005</v>
      </c>
      <c r="AU8" s="203" t="s">
        <v>516</v>
      </c>
      <c r="AV8" s="178">
        <v>41477.810960000003</v>
      </c>
    </row>
    <row r="9" spans="1:48" ht="27.6" customHeight="1" x14ac:dyDescent="0.3">
      <c r="B9" s="182" t="s">
        <v>517</v>
      </c>
      <c r="C9" s="181">
        <v>0</v>
      </c>
      <c r="E9" s="203" t="s">
        <v>517</v>
      </c>
      <c r="F9" s="181">
        <v>694291.66666666663</v>
      </c>
      <c r="H9" s="203" t="s">
        <v>517</v>
      </c>
      <c r="I9" s="181">
        <v>0</v>
      </c>
      <c r="K9" s="203" t="s">
        <v>517</v>
      </c>
      <c r="L9" s="181">
        <v>0</v>
      </c>
      <c r="N9" s="203" t="s">
        <v>517</v>
      </c>
      <c r="O9" s="181">
        <v>0</v>
      </c>
      <c r="Q9" s="203" t="s">
        <v>517</v>
      </c>
      <c r="R9" s="181">
        <v>0</v>
      </c>
      <c r="T9" s="203" t="s">
        <v>517</v>
      </c>
      <c r="U9" s="181">
        <v>526411.11111111112</v>
      </c>
      <c r="W9" s="203" t="s">
        <v>517</v>
      </c>
      <c r="X9" s="181">
        <v>263205.55555555556</v>
      </c>
      <c r="Z9" s="203" t="s">
        <v>517</v>
      </c>
      <c r="AA9" s="181">
        <v>0</v>
      </c>
      <c r="AC9" s="204" t="s">
        <v>517</v>
      </c>
      <c r="AD9" s="181">
        <v>0</v>
      </c>
      <c r="AF9" s="203" t="s">
        <v>517</v>
      </c>
      <c r="AG9" s="181">
        <v>0</v>
      </c>
      <c r="AI9" s="182" t="s">
        <v>517</v>
      </c>
      <c r="AJ9" s="181">
        <v>0</v>
      </c>
      <c r="AL9" s="203" t="s">
        <v>517</v>
      </c>
      <c r="AM9" s="181">
        <v>0</v>
      </c>
      <c r="AO9" s="203" t="s">
        <v>517</v>
      </c>
      <c r="AP9" s="178">
        <v>0</v>
      </c>
      <c r="AR9" s="203" t="s">
        <v>517</v>
      </c>
      <c r="AS9" s="178">
        <v>0</v>
      </c>
      <c r="AU9" s="203" t="s">
        <v>517</v>
      </c>
      <c r="AV9" s="178">
        <v>0</v>
      </c>
    </row>
    <row r="10" spans="1:48" ht="18.600000000000001" customHeight="1" x14ac:dyDescent="0.3">
      <c r="B10" s="182" t="s">
        <v>168</v>
      </c>
      <c r="C10" s="181">
        <v>16633.333333333332</v>
      </c>
      <c r="E10" s="203" t="s">
        <v>168</v>
      </c>
      <c r="F10" s="181">
        <v>1111300</v>
      </c>
      <c r="H10" s="203" t="s">
        <v>168</v>
      </c>
      <c r="I10" s="181">
        <v>204141.66666666666</v>
      </c>
      <c r="K10" s="203" t="s">
        <v>168</v>
      </c>
      <c r="L10" s="181">
        <v>21769.444444444445</v>
      </c>
      <c r="N10" s="203" t="s">
        <v>168</v>
      </c>
      <c r="O10" s="181">
        <v>32991.666666666664</v>
      </c>
      <c r="Q10" s="203" t="s">
        <v>168</v>
      </c>
      <c r="R10" s="181">
        <v>30672.222222222223</v>
      </c>
      <c r="T10" s="203" t="s">
        <v>168</v>
      </c>
      <c r="U10" s="181">
        <v>242766.66666666666</v>
      </c>
      <c r="W10" s="203" t="s">
        <v>168</v>
      </c>
      <c r="X10" s="181">
        <v>400194.44444444444</v>
      </c>
      <c r="Z10" s="203" t="s">
        <v>168</v>
      </c>
      <c r="AA10" s="181">
        <v>602627.77777777775</v>
      </c>
      <c r="AC10" s="204" t="s">
        <v>168</v>
      </c>
      <c r="AD10" s="181">
        <v>72625</v>
      </c>
      <c r="AF10" s="203" t="s">
        <v>168</v>
      </c>
      <c r="AG10" s="181">
        <v>116488.88888888889</v>
      </c>
      <c r="AI10" s="182" t="s">
        <v>168</v>
      </c>
      <c r="AJ10" s="181">
        <v>19363.888888888891</v>
      </c>
      <c r="AL10" s="203" t="s">
        <v>168</v>
      </c>
      <c r="AM10" s="181">
        <v>146100.00000000003</v>
      </c>
      <c r="AO10" s="203" t="s">
        <v>168</v>
      </c>
      <c r="AP10" s="178">
        <v>64338.940360000008</v>
      </c>
      <c r="AR10" s="203" t="s">
        <v>168</v>
      </c>
      <c r="AS10" s="178">
        <v>287047.45185999997</v>
      </c>
      <c r="AU10" s="203" t="s">
        <v>168</v>
      </c>
      <c r="AV10" s="178">
        <v>84797.290059999999</v>
      </c>
    </row>
    <row r="11" spans="1:48" x14ac:dyDescent="0.3">
      <c r="B11" s="182" t="s">
        <v>511</v>
      </c>
      <c r="C11" s="181">
        <v>0</v>
      </c>
      <c r="E11" s="203" t="s">
        <v>511</v>
      </c>
      <c r="F11" s="181">
        <v>536961.11111111112</v>
      </c>
      <c r="H11" s="203" t="s">
        <v>511</v>
      </c>
      <c r="I11" s="181">
        <v>75</v>
      </c>
      <c r="K11" s="203" t="s">
        <v>511</v>
      </c>
      <c r="L11" s="181">
        <v>0</v>
      </c>
      <c r="N11" s="203" t="s">
        <v>511</v>
      </c>
      <c r="O11" s="181">
        <v>475</v>
      </c>
      <c r="Q11" s="203" t="s">
        <v>511</v>
      </c>
      <c r="R11" s="181">
        <v>0</v>
      </c>
      <c r="T11" s="203" t="s">
        <v>511</v>
      </c>
      <c r="U11" s="181">
        <v>349536.11111111112</v>
      </c>
      <c r="W11" s="203" t="s">
        <v>511</v>
      </c>
      <c r="X11" s="181">
        <v>30922.222222222223</v>
      </c>
      <c r="Z11" s="203" t="s">
        <v>511</v>
      </c>
      <c r="AA11" s="181">
        <v>1027.7777777777778</v>
      </c>
      <c r="AC11" s="204" t="s">
        <v>511</v>
      </c>
      <c r="AD11" s="181">
        <v>11.111111111111111</v>
      </c>
      <c r="AF11" s="203" t="s">
        <v>511</v>
      </c>
      <c r="AG11" s="181">
        <v>0</v>
      </c>
      <c r="AI11" s="182" t="s">
        <v>511</v>
      </c>
      <c r="AJ11" s="181">
        <v>0</v>
      </c>
      <c r="AL11" s="203" t="s">
        <v>511</v>
      </c>
      <c r="AM11" s="181">
        <v>0</v>
      </c>
      <c r="AO11" s="203" t="s">
        <v>511</v>
      </c>
      <c r="AP11" s="178">
        <v>0</v>
      </c>
      <c r="AR11" s="203" t="s">
        <v>511</v>
      </c>
      <c r="AS11" s="178">
        <v>6038.89372</v>
      </c>
      <c r="AU11" s="203" t="s">
        <v>511</v>
      </c>
      <c r="AV11" s="178">
        <v>0</v>
      </c>
    </row>
    <row r="12" spans="1:48" x14ac:dyDescent="0.3">
      <c r="B12" s="182" t="s">
        <v>518</v>
      </c>
      <c r="C12" s="181">
        <v>0</v>
      </c>
      <c r="E12" s="203" t="s">
        <v>518</v>
      </c>
      <c r="F12" s="181">
        <v>370891.66666666669</v>
      </c>
      <c r="H12" s="203" t="s">
        <v>518</v>
      </c>
      <c r="I12" s="181">
        <v>0</v>
      </c>
      <c r="K12" s="203" t="s">
        <v>518</v>
      </c>
      <c r="L12" s="181">
        <v>0</v>
      </c>
      <c r="N12" s="203" t="s">
        <v>518</v>
      </c>
      <c r="O12" s="181">
        <v>0</v>
      </c>
      <c r="Q12" s="203" t="s">
        <v>518</v>
      </c>
      <c r="R12" s="181">
        <v>0</v>
      </c>
      <c r="T12" s="203" t="s">
        <v>518</v>
      </c>
      <c r="U12" s="181">
        <v>273372.22222222225</v>
      </c>
      <c r="W12" s="203" t="s">
        <v>518</v>
      </c>
      <c r="X12" s="181">
        <v>0</v>
      </c>
      <c r="Z12" s="203" t="s">
        <v>518</v>
      </c>
      <c r="AA12" s="181">
        <v>0</v>
      </c>
      <c r="AC12" s="204" t="s">
        <v>518</v>
      </c>
      <c r="AD12" s="181">
        <v>0</v>
      </c>
      <c r="AF12" s="203" t="s">
        <v>518</v>
      </c>
      <c r="AG12" s="181">
        <v>0</v>
      </c>
      <c r="AI12" s="182" t="s">
        <v>518</v>
      </c>
      <c r="AJ12" s="181">
        <v>0</v>
      </c>
      <c r="AL12" s="203" t="s">
        <v>518</v>
      </c>
      <c r="AM12" s="181">
        <v>0</v>
      </c>
      <c r="AO12" s="203" t="s">
        <v>518</v>
      </c>
      <c r="AP12" s="178">
        <v>0</v>
      </c>
      <c r="AR12" s="203" t="s">
        <v>518</v>
      </c>
      <c r="AS12" s="178">
        <v>0</v>
      </c>
      <c r="AU12" s="203" t="s">
        <v>518</v>
      </c>
      <c r="AV12" s="178">
        <v>0</v>
      </c>
    </row>
    <row r="13" spans="1:48" x14ac:dyDescent="0.3">
      <c r="B13" s="182" t="s">
        <v>519</v>
      </c>
      <c r="C13" s="181">
        <v>0</v>
      </c>
      <c r="E13" s="203" t="s">
        <v>519</v>
      </c>
      <c r="F13" s="181">
        <v>7797.2222222222217</v>
      </c>
      <c r="H13" s="203" t="s">
        <v>519</v>
      </c>
      <c r="I13" s="181">
        <v>0</v>
      </c>
      <c r="K13" s="203" t="s">
        <v>519</v>
      </c>
      <c r="L13" s="181">
        <v>0</v>
      </c>
      <c r="N13" s="203" t="s">
        <v>519</v>
      </c>
      <c r="O13" s="181">
        <v>0</v>
      </c>
      <c r="Q13" s="203" t="s">
        <v>519</v>
      </c>
      <c r="R13" s="181">
        <v>0</v>
      </c>
      <c r="T13" s="203" t="s">
        <v>519</v>
      </c>
      <c r="U13" s="181">
        <v>0</v>
      </c>
      <c r="W13" s="203" t="s">
        <v>519</v>
      </c>
      <c r="X13" s="181">
        <v>0</v>
      </c>
      <c r="Z13" s="203" t="s">
        <v>519</v>
      </c>
      <c r="AA13" s="181">
        <v>0</v>
      </c>
      <c r="AC13" s="204" t="s">
        <v>519</v>
      </c>
      <c r="AD13" s="181">
        <v>0</v>
      </c>
      <c r="AF13" s="203" t="s">
        <v>519</v>
      </c>
      <c r="AG13" s="181">
        <v>0</v>
      </c>
      <c r="AI13" s="182" t="s">
        <v>519</v>
      </c>
      <c r="AJ13" s="181">
        <v>0</v>
      </c>
      <c r="AL13" s="203" t="s">
        <v>519</v>
      </c>
      <c r="AM13" s="181">
        <v>0</v>
      </c>
      <c r="AO13" s="203" t="s">
        <v>519</v>
      </c>
      <c r="AP13" s="178">
        <v>0</v>
      </c>
      <c r="AR13" s="203" t="s">
        <v>519</v>
      </c>
      <c r="AS13" s="178">
        <v>1536.1123400000001</v>
      </c>
      <c r="AU13" s="203" t="s">
        <v>519</v>
      </c>
      <c r="AV13" s="178">
        <v>0</v>
      </c>
    </row>
    <row r="14" spans="1:48" x14ac:dyDescent="0.3">
      <c r="B14" s="182" t="s">
        <v>95</v>
      </c>
      <c r="C14" s="181">
        <v>0</v>
      </c>
      <c r="E14" s="203" t="s">
        <v>95</v>
      </c>
      <c r="F14" s="181">
        <v>0</v>
      </c>
      <c r="H14" s="203" t="s">
        <v>95</v>
      </c>
      <c r="I14" s="181">
        <v>0</v>
      </c>
      <c r="K14" s="203" t="s">
        <v>95</v>
      </c>
      <c r="L14" s="181">
        <v>0</v>
      </c>
      <c r="N14" s="203" t="s">
        <v>95</v>
      </c>
      <c r="O14" s="181">
        <v>0</v>
      </c>
      <c r="Q14" s="203" t="s">
        <v>95</v>
      </c>
      <c r="R14" s="181">
        <v>0</v>
      </c>
      <c r="T14" s="203" t="s">
        <v>95</v>
      </c>
      <c r="U14" s="181">
        <v>0</v>
      </c>
      <c r="W14" s="203" t="s">
        <v>95</v>
      </c>
      <c r="X14" s="181">
        <v>0</v>
      </c>
      <c r="Z14" s="203" t="s">
        <v>95</v>
      </c>
      <c r="AA14" s="181">
        <v>0</v>
      </c>
      <c r="AC14" s="204" t="s">
        <v>95</v>
      </c>
      <c r="AD14" s="181">
        <v>0</v>
      </c>
      <c r="AF14" s="203" t="s">
        <v>95</v>
      </c>
      <c r="AG14" s="181">
        <v>0</v>
      </c>
      <c r="AI14" s="182" t="s">
        <v>95</v>
      </c>
      <c r="AJ14" s="181">
        <v>0</v>
      </c>
      <c r="AL14" s="203" t="s">
        <v>95</v>
      </c>
      <c r="AM14" s="181">
        <v>0</v>
      </c>
      <c r="AO14" s="203" t="s">
        <v>95</v>
      </c>
      <c r="AP14" s="178">
        <v>0</v>
      </c>
      <c r="AR14" s="203" t="s">
        <v>95</v>
      </c>
      <c r="AS14" s="178">
        <v>0</v>
      </c>
      <c r="AU14" s="203" t="s">
        <v>95</v>
      </c>
      <c r="AV14" s="178">
        <v>0</v>
      </c>
    </row>
    <row r="15" spans="1:48" x14ac:dyDescent="0.3">
      <c r="B15" s="182" t="s">
        <v>520</v>
      </c>
      <c r="C15" s="181">
        <v>0</v>
      </c>
      <c r="E15" s="203" t="s">
        <v>520</v>
      </c>
      <c r="F15" s="181">
        <v>0</v>
      </c>
      <c r="H15" s="203" t="s">
        <v>520</v>
      </c>
      <c r="I15" s="181">
        <v>0</v>
      </c>
      <c r="K15" s="203" t="s">
        <v>520</v>
      </c>
      <c r="L15" s="181">
        <v>0</v>
      </c>
      <c r="N15" s="203" t="s">
        <v>520</v>
      </c>
      <c r="O15" s="181">
        <v>0</v>
      </c>
      <c r="Q15" s="203" t="s">
        <v>520</v>
      </c>
      <c r="R15" s="181">
        <v>0</v>
      </c>
      <c r="T15" s="203" t="s">
        <v>520</v>
      </c>
      <c r="U15" s="181">
        <v>0</v>
      </c>
      <c r="W15" s="203" t="s">
        <v>520</v>
      </c>
      <c r="X15" s="181">
        <v>0</v>
      </c>
      <c r="Z15" s="203" t="s">
        <v>520</v>
      </c>
      <c r="AA15" s="181">
        <v>0</v>
      </c>
      <c r="AC15" s="204" t="s">
        <v>520</v>
      </c>
      <c r="AD15" s="181">
        <v>0</v>
      </c>
      <c r="AF15" s="203" t="s">
        <v>520</v>
      </c>
      <c r="AG15" s="181">
        <v>0</v>
      </c>
      <c r="AI15" s="182" t="s">
        <v>520</v>
      </c>
      <c r="AJ15" s="181">
        <v>0</v>
      </c>
      <c r="AL15" s="203" t="s">
        <v>520</v>
      </c>
      <c r="AM15" s="181">
        <v>0</v>
      </c>
      <c r="AO15" s="203" t="s">
        <v>520</v>
      </c>
      <c r="AP15" s="178">
        <v>0</v>
      </c>
      <c r="AR15" s="203" t="s">
        <v>520</v>
      </c>
      <c r="AS15" s="178">
        <v>0</v>
      </c>
      <c r="AU15" s="203" t="s">
        <v>520</v>
      </c>
      <c r="AV15" s="178">
        <v>0</v>
      </c>
    </row>
    <row r="16" spans="1:48" x14ac:dyDescent="0.3">
      <c r="B16" s="182" t="s">
        <v>21</v>
      </c>
      <c r="C16" s="181">
        <v>0</v>
      </c>
      <c r="E16" s="203" t="s">
        <v>21</v>
      </c>
      <c r="F16" s="181">
        <v>56830.555555555555</v>
      </c>
      <c r="H16" s="203" t="s">
        <v>21</v>
      </c>
      <c r="I16" s="181">
        <v>0</v>
      </c>
      <c r="K16" s="203" t="s">
        <v>21</v>
      </c>
      <c r="L16" s="181">
        <v>0</v>
      </c>
      <c r="N16" s="203" t="s">
        <v>21</v>
      </c>
      <c r="O16" s="181">
        <v>0</v>
      </c>
      <c r="Q16" s="203" t="s">
        <v>21</v>
      </c>
      <c r="R16" s="181">
        <v>0</v>
      </c>
      <c r="T16" s="203" t="s">
        <v>21</v>
      </c>
      <c r="U16" s="181">
        <v>0</v>
      </c>
      <c r="W16" s="203" t="s">
        <v>21</v>
      </c>
      <c r="X16" s="181">
        <v>22238.888888888891</v>
      </c>
      <c r="Z16" s="203" t="s">
        <v>21</v>
      </c>
      <c r="AA16" s="181">
        <v>43808.333333333336</v>
      </c>
      <c r="AC16" s="204" t="s">
        <v>21</v>
      </c>
      <c r="AD16" s="181">
        <v>21808.333333333332</v>
      </c>
      <c r="AF16" s="203" t="s">
        <v>21</v>
      </c>
      <c r="AG16" s="181">
        <v>0</v>
      </c>
      <c r="AI16" s="182" t="s">
        <v>21</v>
      </c>
      <c r="AJ16" s="181">
        <v>19136.111111111109</v>
      </c>
      <c r="AL16" s="203" t="s">
        <v>21</v>
      </c>
      <c r="AM16" s="181">
        <v>1253950</v>
      </c>
      <c r="AO16" s="203" t="s">
        <v>21</v>
      </c>
      <c r="AP16" s="178">
        <v>18711.126080000002</v>
      </c>
      <c r="AR16" s="203" t="s">
        <v>21</v>
      </c>
      <c r="AS16" s="178">
        <v>0</v>
      </c>
      <c r="AU16" s="203" t="s">
        <v>21</v>
      </c>
      <c r="AV16" s="178">
        <v>0</v>
      </c>
    </row>
    <row r="17" spans="1:48" x14ac:dyDescent="0.3">
      <c r="B17" s="182" t="s">
        <v>521</v>
      </c>
      <c r="C17" s="181">
        <v>0</v>
      </c>
      <c r="E17" s="203" t="s">
        <v>521</v>
      </c>
      <c r="F17" s="181">
        <v>0</v>
      </c>
      <c r="H17" s="203" t="s">
        <v>521</v>
      </c>
      <c r="I17" s="181">
        <v>0</v>
      </c>
      <c r="K17" s="203" t="s">
        <v>521</v>
      </c>
      <c r="L17" s="181">
        <v>0</v>
      </c>
      <c r="N17" s="203" t="s">
        <v>521</v>
      </c>
      <c r="O17" s="181">
        <v>0</v>
      </c>
      <c r="Q17" s="203" t="s">
        <v>521</v>
      </c>
      <c r="R17" s="181">
        <v>0</v>
      </c>
      <c r="T17" s="203" t="s">
        <v>521</v>
      </c>
      <c r="U17" s="181">
        <v>0</v>
      </c>
      <c r="W17" s="203" t="s">
        <v>521</v>
      </c>
      <c r="X17" s="181">
        <v>0</v>
      </c>
      <c r="Z17" s="203" t="s">
        <v>521</v>
      </c>
      <c r="AA17" s="181">
        <v>0</v>
      </c>
      <c r="AC17" s="204" t="s">
        <v>521</v>
      </c>
      <c r="AD17" s="181">
        <v>0</v>
      </c>
      <c r="AF17" s="203" t="s">
        <v>521</v>
      </c>
      <c r="AG17" s="181">
        <v>0</v>
      </c>
      <c r="AI17" s="182" t="s">
        <v>521</v>
      </c>
      <c r="AJ17" s="181">
        <v>0</v>
      </c>
      <c r="AL17" s="203" t="s">
        <v>521</v>
      </c>
      <c r="AM17" s="181">
        <v>0</v>
      </c>
      <c r="AO17" s="203" t="s">
        <v>521</v>
      </c>
      <c r="AP17" s="178">
        <v>0</v>
      </c>
      <c r="AR17" s="203" t="s">
        <v>521</v>
      </c>
      <c r="AS17" s="178">
        <v>0</v>
      </c>
      <c r="AU17" s="203" t="s">
        <v>521</v>
      </c>
      <c r="AV17" s="178">
        <v>0</v>
      </c>
    </row>
    <row r="19" spans="1:48" x14ac:dyDescent="0.3">
      <c r="A19" s="178" t="s">
        <v>522</v>
      </c>
      <c r="B19" s="188" t="s">
        <v>512</v>
      </c>
      <c r="C19" s="185"/>
      <c r="E19" s="205" t="s">
        <v>512</v>
      </c>
      <c r="F19" s="186"/>
      <c r="H19" s="205" t="s">
        <v>512</v>
      </c>
      <c r="I19" s="186"/>
      <c r="K19" s="205" t="s">
        <v>512</v>
      </c>
      <c r="L19" s="186"/>
      <c r="N19" s="205" t="s">
        <v>512</v>
      </c>
      <c r="O19" s="181"/>
      <c r="Q19" s="205" t="s">
        <v>512</v>
      </c>
      <c r="R19" s="181"/>
      <c r="T19" s="205" t="s">
        <v>512</v>
      </c>
      <c r="U19" s="186"/>
      <c r="W19" s="205" t="s">
        <v>512</v>
      </c>
      <c r="X19" s="186"/>
      <c r="Z19" s="205" t="s">
        <v>512</v>
      </c>
      <c r="AA19" s="181"/>
      <c r="AC19" s="206" t="s">
        <v>512</v>
      </c>
      <c r="AD19" s="187"/>
      <c r="AF19" s="205" t="s">
        <v>512</v>
      </c>
      <c r="AG19" s="186"/>
      <c r="AI19" s="188" t="s">
        <v>512</v>
      </c>
      <c r="AJ19" s="185"/>
      <c r="AL19" s="205" t="s">
        <v>512</v>
      </c>
      <c r="AM19" s="184"/>
      <c r="AO19" s="205" t="s">
        <v>512</v>
      </c>
      <c r="AR19" s="205" t="s">
        <v>512</v>
      </c>
      <c r="AU19" s="205" t="s">
        <v>512</v>
      </c>
    </row>
    <row r="20" spans="1:48" x14ac:dyDescent="0.3">
      <c r="B20" s="182" t="s">
        <v>513</v>
      </c>
      <c r="C20" s="181">
        <v>0</v>
      </c>
      <c r="E20" s="203" t="s">
        <v>513</v>
      </c>
      <c r="F20" s="181">
        <v>0</v>
      </c>
      <c r="H20" s="203" t="s">
        <v>513</v>
      </c>
      <c r="I20" s="181">
        <v>15858.333333333334</v>
      </c>
      <c r="K20" s="203" t="s">
        <v>513</v>
      </c>
      <c r="L20" s="181">
        <v>0</v>
      </c>
      <c r="N20" s="203" t="s">
        <v>513</v>
      </c>
      <c r="O20" s="181">
        <v>166.66666666666666</v>
      </c>
      <c r="Q20" s="203" t="s">
        <v>513</v>
      </c>
      <c r="R20" s="181">
        <v>0</v>
      </c>
      <c r="T20" s="203" t="s">
        <v>513</v>
      </c>
      <c r="U20" s="181">
        <v>0</v>
      </c>
      <c r="W20" s="203" t="s">
        <v>513</v>
      </c>
      <c r="X20" s="181">
        <v>400</v>
      </c>
      <c r="Z20" s="203" t="s">
        <v>513</v>
      </c>
      <c r="AA20" s="181">
        <v>0</v>
      </c>
      <c r="AC20" s="204" t="s">
        <v>513</v>
      </c>
      <c r="AD20" s="181">
        <v>0</v>
      </c>
      <c r="AF20" s="203" t="s">
        <v>513</v>
      </c>
      <c r="AG20" s="181">
        <v>13.888888888888889</v>
      </c>
      <c r="AI20" s="182" t="s">
        <v>513</v>
      </c>
      <c r="AJ20" s="181">
        <v>0</v>
      </c>
      <c r="AL20" s="203" t="s">
        <v>513</v>
      </c>
      <c r="AM20" s="181">
        <v>0</v>
      </c>
      <c r="AO20" s="203" t="s">
        <v>513</v>
      </c>
      <c r="AP20" s="178">
        <v>0</v>
      </c>
      <c r="AR20" s="203" t="s">
        <v>513</v>
      </c>
      <c r="AS20" s="178">
        <v>13044.454880000001</v>
      </c>
      <c r="AU20" s="203" t="s">
        <v>513</v>
      </c>
      <c r="AV20" s="178">
        <v>0</v>
      </c>
    </row>
    <row r="21" spans="1:48" x14ac:dyDescent="0.3">
      <c r="B21" s="182" t="s">
        <v>143</v>
      </c>
      <c r="C21" s="181">
        <v>21788.888888888891</v>
      </c>
      <c r="E21" s="203" t="s">
        <v>143</v>
      </c>
      <c r="F21" s="181">
        <v>6291316.666666667</v>
      </c>
      <c r="H21" s="203" t="s">
        <v>143</v>
      </c>
      <c r="I21" s="181">
        <v>345730.55555555556</v>
      </c>
      <c r="K21" s="203" t="s">
        <v>143</v>
      </c>
      <c r="L21" s="181">
        <v>29050</v>
      </c>
      <c r="N21" s="203" t="s">
        <v>143</v>
      </c>
      <c r="O21" s="181">
        <v>325050</v>
      </c>
      <c r="Q21" s="203" t="s">
        <v>143</v>
      </c>
      <c r="R21" s="181">
        <v>181630.55555555556</v>
      </c>
      <c r="T21" s="203" t="s">
        <v>143</v>
      </c>
      <c r="U21" s="181">
        <v>3200219.4444444445</v>
      </c>
      <c r="W21" s="203" t="s">
        <v>143</v>
      </c>
      <c r="X21" s="181">
        <v>5548369.444444444</v>
      </c>
      <c r="Z21" s="203" t="s">
        <v>143</v>
      </c>
      <c r="AA21" s="181">
        <v>4551300</v>
      </c>
      <c r="AC21" s="204" t="s">
        <v>143</v>
      </c>
      <c r="AD21" s="181">
        <v>447433.33333333331</v>
      </c>
      <c r="AF21" s="203" t="s">
        <v>143</v>
      </c>
      <c r="AG21" s="181">
        <v>166186.11111111112</v>
      </c>
      <c r="AI21" s="182" t="s">
        <v>143</v>
      </c>
      <c r="AJ21" s="181">
        <v>37533.333333333336</v>
      </c>
      <c r="AL21" s="203" t="s">
        <v>143</v>
      </c>
      <c r="AM21" s="181">
        <v>155175</v>
      </c>
      <c r="AO21" s="203" t="s">
        <v>143</v>
      </c>
      <c r="AP21" s="178">
        <v>103127.86028000001</v>
      </c>
      <c r="AR21" s="203" t="s">
        <v>143</v>
      </c>
      <c r="AS21" s="178">
        <v>834647.88994000002</v>
      </c>
      <c r="AU21" s="203" t="s">
        <v>143</v>
      </c>
      <c r="AV21" s="178">
        <v>184266.81408000001</v>
      </c>
    </row>
    <row r="22" spans="1:48" x14ac:dyDescent="0.3">
      <c r="B22" s="182" t="s">
        <v>514</v>
      </c>
      <c r="C22" s="181">
        <v>88561.111111111109</v>
      </c>
      <c r="E22" s="203" t="s">
        <v>514</v>
      </c>
      <c r="F22" s="181">
        <v>2326391.6666666665</v>
      </c>
      <c r="H22" s="203" t="s">
        <v>514</v>
      </c>
      <c r="I22" s="181">
        <v>264338.88888888888</v>
      </c>
      <c r="K22" s="203" t="s">
        <v>514</v>
      </c>
      <c r="L22" s="181">
        <v>28511.111111111109</v>
      </c>
      <c r="N22" s="203" t="s">
        <v>514</v>
      </c>
      <c r="O22" s="181">
        <v>272316.66666666669</v>
      </c>
      <c r="Q22" s="203" t="s">
        <v>514</v>
      </c>
      <c r="R22" s="181">
        <v>63638.888888888891</v>
      </c>
      <c r="T22" s="203" t="s">
        <v>514</v>
      </c>
      <c r="U22" s="181">
        <v>2348469.4444444445</v>
      </c>
      <c r="W22" s="203" t="s">
        <v>514</v>
      </c>
      <c r="X22" s="181">
        <v>628386.11111111112</v>
      </c>
      <c r="Z22" s="203" t="s">
        <v>514</v>
      </c>
      <c r="AA22" s="181">
        <v>1137911.111111111</v>
      </c>
      <c r="AC22" s="204" t="s">
        <v>514</v>
      </c>
      <c r="AD22" s="181">
        <v>514130.55555555556</v>
      </c>
      <c r="AF22" s="203" t="s">
        <v>514</v>
      </c>
      <c r="AG22" s="181">
        <v>269744.44444444444</v>
      </c>
      <c r="AI22" s="182" t="s">
        <v>514</v>
      </c>
      <c r="AJ22" s="181">
        <v>24083.333333333332</v>
      </c>
      <c r="AL22" s="203" t="s">
        <v>514</v>
      </c>
      <c r="AM22" s="181">
        <v>420180.55555555556</v>
      </c>
      <c r="AO22" s="203" t="s">
        <v>514</v>
      </c>
      <c r="AP22" s="178">
        <v>80500.064400000003</v>
      </c>
      <c r="AR22" s="203" t="s">
        <v>514</v>
      </c>
      <c r="AS22" s="178">
        <v>221016.84348000001</v>
      </c>
      <c r="AU22" s="203" t="s">
        <v>514</v>
      </c>
      <c r="AV22" s="178">
        <v>292500.234</v>
      </c>
    </row>
    <row r="23" spans="1:48" x14ac:dyDescent="0.3">
      <c r="B23" s="182" t="s">
        <v>515</v>
      </c>
      <c r="C23" s="181">
        <v>47897.222222222219</v>
      </c>
      <c r="E23" s="203" t="s">
        <v>515</v>
      </c>
      <c r="F23" s="181">
        <v>91075</v>
      </c>
      <c r="H23" s="203" t="s">
        <v>515</v>
      </c>
      <c r="I23" s="181">
        <v>77844.444444444438</v>
      </c>
      <c r="K23" s="203" t="s">
        <v>515</v>
      </c>
      <c r="L23" s="181">
        <v>12088.888888888889</v>
      </c>
      <c r="N23" s="203" t="s">
        <v>515</v>
      </c>
      <c r="O23" s="181">
        <v>73086.111111111109</v>
      </c>
      <c r="Q23" s="203" t="s">
        <v>515</v>
      </c>
      <c r="R23" s="181">
        <v>28130.555555555555</v>
      </c>
      <c r="T23" s="203" t="s">
        <v>515</v>
      </c>
      <c r="U23" s="181">
        <v>269230.55555555556</v>
      </c>
      <c r="W23" s="203" t="s">
        <v>515</v>
      </c>
      <c r="X23" s="181">
        <v>121627.77777777778</v>
      </c>
      <c r="Z23" s="203" t="s">
        <v>515</v>
      </c>
      <c r="AA23" s="181">
        <v>95611.111111111109</v>
      </c>
      <c r="AC23" s="204" t="s">
        <v>515</v>
      </c>
      <c r="AD23" s="181">
        <v>45977.777777777781</v>
      </c>
      <c r="AF23" s="203" t="s">
        <v>515</v>
      </c>
      <c r="AG23" s="181">
        <v>43688.888888888891</v>
      </c>
      <c r="AI23" s="182" t="s">
        <v>515</v>
      </c>
      <c r="AJ23" s="181">
        <v>12955.555555555555</v>
      </c>
      <c r="AL23" s="203" t="s">
        <v>515</v>
      </c>
      <c r="AM23" s="181">
        <v>71716.666666666672</v>
      </c>
      <c r="AO23" s="203" t="s">
        <v>515</v>
      </c>
      <c r="AP23" s="178">
        <v>22216.684440000001</v>
      </c>
      <c r="AR23" s="203" t="s">
        <v>515</v>
      </c>
      <c r="AS23" s="178">
        <v>74091.725940000004</v>
      </c>
      <c r="AU23" s="203" t="s">
        <v>515</v>
      </c>
      <c r="AV23" s="178">
        <v>59002.824980000005</v>
      </c>
    </row>
    <row r="24" spans="1:48" x14ac:dyDescent="0.3">
      <c r="B24" s="182" t="s">
        <v>516</v>
      </c>
      <c r="C24" s="181">
        <v>29005.555555555555</v>
      </c>
      <c r="E24" s="203" t="s">
        <v>516</v>
      </c>
      <c r="F24" s="181">
        <v>1817169.4444444445</v>
      </c>
      <c r="H24" s="203" t="s">
        <v>516</v>
      </c>
      <c r="I24" s="181">
        <v>296255.55555555556</v>
      </c>
      <c r="K24" s="203" t="s">
        <v>516</v>
      </c>
      <c r="L24" s="181">
        <v>24369.444444444445</v>
      </c>
      <c r="N24" s="203" t="s">
        <v>516</v>
      </c>
      <c r="O24" s="181">
        <v>225616.66666666666</v>
      </c>
      <c r="Q24" s="203" t="s">
        <v>516</v>
      </c>
      <c r="R24" s="181">
        <v>124500</v>
      </c>
      <c r="T24" s="203" t="s">
        <v>516</v>
      </c>
      <c r="U24" s="181">
        <v>2328883.3333333335</v>
      </c>
      <c r="W24" s="203" t="s">
        <v>516</v>
      </c>
      <c r="X24" s="181">
        <v>542272.22222222225</v>
      </c>
      <c r="Z24" s="203" t="s">
        <v>516</v>
      </c>
      <c r="AA24" s="181">
        <v>632727.77777777775</v>
      </c>
      <c r="AC24" s="204" t="s">
        <v>516</v>
      </c>
      <c r="AD24" s="181">
        <v>341730.55555555556</v>
      </c>
      <c r="AF24" s="203" t="s">
        <v>516</v>
      </c>
      <c r="AG24" s="181">
        <v>55225</v>
      </c>
      <c r="AI24" s="182" t="s">
        <v>516</v>
      </c>
      <c r="AJ24" s="181">
        <v>113711.11111111111</v>
      </c>
      <c r="AL24" s="203" t="s">
        <v>516</v>
      </c>
      <c r="AM24" s="181">
        <v>218247.22222222222</v>
      </c>
      <c r="AO24" s="203" t="s">
        <v>516</v>
      </c>
      <c r="AP24" s="178">
        <v>166402.91089999999</v>
      </c>
      <c r="AR24" s="203" t="s">
        <v>516</v>
      </c>
      <c r="AS24" s="178">
        <v>499778.17760000005</v>
      </c>
      <c r="AU24" s="203" t="s">
        <v>516</v>
      </c>
      <c r="AV24" s="178">
        <v>41477.810960000003</v>
      </c>
    </row>
    <row r="25" spans="1:48" x14ac:dyDescent="0.3">
      <c r="B25" s="182" t="s">
        <v>517</v>
      </c>
      <c r="C25" s="181">
        <v>0</v>
      </c>
      <c r="E25" s="203" t="s">
        <v>517</v>
      </c>
      <c r="F25" s="181">
        <v>694291.66666666663</v>
      </c>
      <c r="H25" s="203" t="s">
        <v>517</v>
      </c>
      <c r="I25" s="181">
        <v>0</v>
      </c>
      <c r="K25" s="203" t="s">
        <v>517</v>
      </c>
      <c r="L25" s="181">
        <v>0</v>
      </c>
      <c r="N25" s="203" t="s">
        <v>517</v>
      </c>
      <c r="O25" s="181">
        <v>0</v>
      </c>
      <c r="Q25" s="203" t="s">
        <v>517</v>
      </c>
      <c r="R25" s="181">
        <v>0</v>
      </c>
      <c r="T25" s="203" t="s">
        <v>517</v>
      </c>
      <c r="U25" s="181">
        <v>526411.11111111112</v>
      </c>
      <c r="W25" s="203" t="s">
        <v>517</v>
      </c>
      <c r="X25" s="181">
        <v>263205.55555555556</v>
      </c>
      <c r="Z25" s="203" t="s">
        <v>517</v>
      </c>
      <c r="AA25" s="181">
        <v>0</v>
      </c>
      <c r="AC25" s="204" t="s">
        <v>517</v>
      </c>
      <c r="AD25" s="181">
        <v>0</v>
      </c>
      <c r="AF25" s="203" t="s">
        <v>517</v>
      </c>
      <c r="AG25" s="181">
        <v>0</v>
      </c>
      <c r="AI25" s="182" t="s">
        <v>517</v>
      </c>
      <c r="AJ25" s="181">
        <v>0</v>
      </c>
      <c r="AL25" s="203" t="s">
        <v>517</v>
      </c>
      <c r="AM25" s="181">
        <v>0</v>
      </c>
      <c r="AO25" s="203" t="s">
        <v>517</v>
      </c>
      <c r="AP25" s="178">
        <v>0</v>
      </c>
      <c r="AR25" s="203" t="s">
        <v>517</v>
      </c>
      <c r="AS25" s="178">
        <v>0</v>
      </c>
      <c r="AU25" s="203" t="s">
        <v>517</v>
      </c>
      <c r="AV25" s="178">
        <v>0</v>
      </c>
    </row>
    <row r="26" spans="1:48" x14ac:dyDescent="0.3">
      <c r="B26" s="182" t="s">
        <v>168</v>
      </c>
      <c r="C26" s="181">
        <v>17333.333333333332</v>
      </c>
      <c r="E26" s="203" t="s">
        <v>168</v>
      </c>
      <c r="F26" s="181">
        <v>1050097.2222222222</v>
      </c>
      <c r="H26" s="203" t="s">
        <v>168</v>
      </c>
      <c r="I26" s="181">
        <v>29280.555555555555</v>
      </c>
      <c r="K26" s="203" t="s">
        <v>168</v>
      </c>
      <c r="L26" s="181">
        <v>15622.222222222223</v>
      </c>
      <c r="N26" s="203" t="s">
        <v>168</v>
      </c>
      <c r="O26" s="181">
        <v>85413.888888888891</v>
      </c>
      <c r="Q26" s="203" t="s">
        <v>168</v>
      </c>
      <c r="R26" s="181">
        <v>32661.111111111109</v>
      </c>
      <c r="T26" s="203" t="s">
        <v>168</v>
      </c>
      <c r="U26" s="181">
        <v>209547.22222222222</v>
      </c>
      <c r="W26" s="203" t="s">
        <v>168</v>
      </c>
      <c r="X26" s="181">
        <v>318902.77777777775</v>
      </c>
      <c r="Z26" s="203" t="s">
        <v>168</v>
      </c>
      <c r="AA26" s="181">
        <v>371638.88888888888</v>
      </c>
      <c r="AC26" s="204" t="s">
        <v>168</v>
      </c>
      <c r="AD26" s="181">
        <v>68077.777777777781</v>
      </c>
      <c r="AF26" s="203" t="s">
        <v>168</v>
      </c>
      <c r="AG26" s="181">
        <v>103811.11111111111</v>
      </c>
      <c r="AI26" s="182" t="s">
        <v>168</v>
      </c>
      <c r="AJ26" s="181">
        <v>18527.777777777777</v>
      </c>
      <c r="AL26" s="203" t="s">
        <v>168</v>
      </c>
      <c r="AM26" s="181">
        <v>146574.99999999997</v>
      </c>
      <c r="AO26" s="203" t="s">
        <v>168</v>
      </c>
      <c r="AP26" s="178">
        <v>61208.382300000005</v>
      </c>
      <c r="AR26" s="203" t="s">
        <v>168</v>
      </c>
      <c r="AS26" s="178">
        <v>295391.90298000007</v>
      </c>
      <c r="AU26" s="203" t="s">
        <v>168</v>
      </c>
      <c r="AV26" s="178">
        <v>104269.52786</v>
      </c>
    </row>
    <row r="27" spans="1:48" x14ac:dyDescent="0.3">
      <c r="B27" s="182" t="s">
        <v>511</v>
      </c>
      <c r="C27" s="181">
        <v>0</v>
      </c>
      <c r="E27" s="203" t="s">
        <v>511</v>
      </c>
      <c r="F27" s="181">
        <v>522341.66666666669</v>
      </c>
      <c r="H27" s="203" t="s">
        <v>511</v>
      </c>
      <c r="I27" s="181">
        <v>75</v>
      </c>
      <c r="K27" s="203" t="s">
        <v>511</v>
      </c>
      <c r="L27" s="181">
        <v>0</v>
      </c>
      <c r="N27" s="203" t="s">
        <v>511</v>
      </c>
      <c r="O27" s="181">
        <v>475</v>
      </c>
      <c r="Q27" s="203" t="s">
        <v>511</v>
      </c>
      <c r="R27" s="181">
        <v>0</v>
      </c>
      <c r="T27" s="203" t="s">
        <v>511</v>
      </c>
      <c r="U27" s="181">
        <v>316616.66666666669</v>
      </c>
      <c r="W27" s="203" t="s">
        <v>511</v>
      </c>
      <c r="X27" s="181">
        <v>31280.555555555555</v>
      </c>
      <c r="Z27" s="203" t="s">
        <v>511</v>
      </c>
      <c r="AA27" s="181">
        <v>23536.111111111109</v>
      </c>
      <c r="AC27" s="204" t="s">
        <v>511</v>
      </c>
      <c r="AD27" s="181">
        <v>13.888888888888889</v>
      </c>
      <c r="AF27" s="203" t="s">
        <v>511</v>
      </c>
      <c r="AG27" s="181">
        <v>0</v>
      </c>
      <c r="AI27" s="182" t="s">
        <v>511</v>
      </c>
      <c r="AJ27" s="181">
        <v>0</v>
      </c>
      <c r="AL27" s="203" t="s">
        <v>511</v>
      </c>
      <c r="AM27" s="181">
        <v>0</v>
      </c>
      <c r="AO27" s="203" t="s">
        <v>511</v>
      </c>
      <c r="AP27" s="178">
        <v>0</v>
      </c>
      <c r="AR27" s="203" t="s">
        <v>511</v>
      </c>
      <c r="AS27" s="178">
        <v>5941.6714200000006</v>
      </c>
      <c r="AU27" s="203" t="s">
        <v>511</v>
      </c>
      <c r="AV27" s="178">
        <v>0</v>
      </c>
    </row>
    <row r="28" spans="1:48" x14ac:dyDescent="0.3">
      <c r="B28" s="182" t="s">
        <v>518</v>
      </c>
      <c r="C28" s="181">
        <v>0</v>
      </c>
      <c r="E28" s="203" t="s">
        <v>518</v>
      </c>
      <c r="F28" s="181">
        <v>363849.99999999994</v>
      </c>
      <c r="H28" s="203" t="s">
        <v>518</v>
      </c>
      <c r="I28" s="181">
        <v>0</v>
      </c>
      <c r="K28" s="203" t="s">
        <v>518</v>
      </c>
      <c r="L28" s="181">
        <v>0</v>
      </c>
      <c r="N28" s="203" t="s">
        <v>518</v>
      </c>
      <c r="O28" s="181">
        <v>0</v>
      </c>
      <c r="Q28" s="203" t="s">
        <v>518</v>
      </c>
      <c r="R28" s="181">
        <v>0</v>
      </c>
      <c r="T28" s="203" t="s">
        <v>518</v>
      </c>
      <c r="U28" s="181">
        <v>247950</v>
      </c>
      <c r="W28" s="203" t="s">
        <v>518</v>
      </c>
      <c r="X28" s="181">
        <v>0</v>
      </c>
      <c r="Z28" s="203" t="s">
        <v>518</v>
      </c>
      <c r="AA28" s="181">
        <v>0</v>
      </c>
      <c r="AC28" s="204" t="s">
        <v>518</v>
      </c>
      <c r="AD28" s="181">
        <v>0</v>
      </c>
      <c r="AF28" s="203" t="s">
        <v>518</v>
      </c>
      <c r="AG28" s="181">
        <v>0</v>
      </c>
      <c r="AI28" s="182" t="s">
        <v>518</v>
      </c>
      <c r="AJ28" s="181">
        <v>0</v>
      </c>
      <c r="AL28" s="203" t="s">
        <v>518</v>
      </c>
      <c r="AM28" s="181">
        <v>0</v>
      </c>
      <c r="AO28" s="203" t="s">
        <v>518</v>
      </c>
      <c r="AP28" s="178">
        <v>0</v>
      </c>
      <c r="AR28" s="203" t="s">
        <v>518</v>
      </c>
      <c r="AS28" s="178">
        <v>0</v>
      </c>
      <c r="AU28" s="203" t="s">
        <v>518</v>
      </c>
      <c r="AV28" s="178">
        <v>0</v>
      </c>
    </row>
    <row r="29" spans="1:48" x14ac:dyDescent="0.3">
      <c r="B29" s="182" t="s">
        <v>519</v>
      </c>
      <c r="C29" s="181">
        <v>0</v>
      </c>
      <c r="E29" s="203" t="s">
        <v>519</v>
      </c>
      <c r="F29" s="181">
        <v>7213.8888888888887</v>
      </c>
      <c r="H29" s="203" t="s">
        <v>519</v>
      </c>
      <c r="I29" s="181">
        <v>0</v>
      </c>
      <c r="K29" s="203" t="s">
        <v>519</v>
      </c>
      <c r="L29" s="181">
        <v>0</v>
      </c>
      <c r="N29" s="203" t="s">
        <v>519</v>
      </c>
      <c r="O29" s="181">
        <v>0</v>
      </c>
      <c r="Q29" s="203" t="s">
        <v>519</v>
      </c>
      <c r="R29" s="181">
        <v>0</v>
      </c>
      <c r="T29" s="203" t="s">
        <v>519</v>
      </c>
      <c r="U29" s="181">
        <v>0</v>
      </c>
      <c r="W29" s="203" t="s">
        <v>519</v>
      </c>
      <c r="X29" s="181">
        <v>0</v>
      </c>
      <c r="Z29" s="203" t="s">
        <v>519</v>
      </c>
      <c r="AA29" s="181">
        <v>0</v>
      </c>
      <c r="AC29" s="204" t="s">
        <v>519</v>
      </c>
      <c r="AD29" s="181">
        <v>0</v>
      </c>
      <c r="AF29" s="203" t="s">
        <v>519</v>
      </c>
      <c r="AG29" s="181">
        <v>0</v>
      </c>
      <c r="AI29" s="182" t="s">
        <v>519</v>
      </c>
      <c r="AJ29" s="181">
        <v>0</v>
      </c>
      <c r="AL29" s="203" t="s">
        <v>519</v>
      </c>
      <c r="AM29" s="181">
        <v>0</v>
      </c>
      <c r="AO29" s="203" t="s">
        <v>519</v>
      </c>
      <c r="AP29" s="178">
        <v>0</v>
      </c>
      <c r="AR29" s="203" t="s">
        <v>519</v>
      </c>
      <c r="AS29" s="178">
        <v>1600.00128</v>
      </c>
      <c r="AU29" s="203" t="s">
        <v>519</v>
      </c>
      <c r="AV29" s="178">
        <v>0</v>
      </c>
    </row>
    <row r="30" spans="1:48" x14ac:dyDescent="0.3">
      <c r="B30" s="182" t="s">
        <v>95</v>
      </c>
      <c r="C30" s="181">
        <v>0</v>
      </c>
      <c r="E30" s="203" t="s">
        <v>95</v>
      </c>
      <c r="F30" s="181">
        <v>0</v>
      </c>
      <c r="H30" s="203" t="s">
        <v>95</v>
      </c>
      <c r="I30" s="181">
        <v>0</v>
      </c>
      <c r="K30" s="203" t="s">
        <v>95</v>
      </c>
      <c r="L30" s="181">
        <v>0</v>
      </c>
      <c r="N30" s="203" t="s">
        <v>95</v>
      </c>
      <c r="O30" s="181">
        <v>0</v>
      </c>
      <c r="Q30" s="203" t="s">
        <v>95</v>
      </c>
      <c r="R30" s="181">
        <v>0</v>
      </c>
      <c r="T30" s="203" t="s">
        <v>95</v>
      </c>
      <c r="U30" s="181">
        <v>0</v>
      </c>
      <c r="W30" s="203" t="s">
        <v>95</v>
      </c>
      <c r="X30" s="181">
        <v>0</v>
      </c>
      <c r="Z30" s="203" t="s">
        <v>95</v>
      </c>
      <c r="AA30" s="181">
        <v>0</v>
      </c>
      <c r="AC30" s="204" t="s">
        <v>95</v>
      </c>
      <c r="AD30" s="181">
        <v>0</v>
      </c>
      <c r="AF30" s="203" t="s">
        <v>95</v>
      </c>
      <c r="AG30" s="181">
        <v>0</v>
      </c>
      <c r="AI30" s="182" t="s">
        <v>95</v>
      </c>
      <c r="AJ30" s="181">
        <v>0</v>
      </c>
      <c r="AL30" s="203" t="s">
        <v>95</v>
      </c>
      <c r="AM30" s="181">
        <v>0</v>
      </c>
      <c r="AO30" s="203" t="s">
        <v>95</v>
      </c>
      <c r="AP30" s="178">
        <v>0</v>
      </c>
      <c r="AR30" s="203" t="s">
        <v>95</v>
      </c>
      <c r="AS30" s="178">
        <v>0</v>
      </c>
      <c r="AU30" s="203" t="s">
        <v>95</v>
      </c>
      <c r="AV30" s="178">
        <v>0</v>
      </c>
    </row>
    <row r="31" spans="1:48" x14ac:dyDescent="0.3">
      <c r="B31" s="182" t="s">
        <v>520</v>
      </c>
      <c r="C31" s="181">
        <v>0</v>
      </c>
      <c r="E31" s="203" t="s">
        <v>520</v>
      </c>
      <c r="F31" s="181">
        <v>0</v>
      </c>
      <c r="H31" s="203" t="s">
        <v>520</v>
      </c>
      <c r="I31" s="181">
        <v>0</v>
      </c>
      <c r="K31" s="203" t="s">
        <v>520</v>
      </c>
      <c r="L31" s="181">
        <v>0</v>
      </c>
      <c r="N31" s="203" t="s">
        <v>520</v>
      </c>
      <c r="O31" s="181">
        <v>0</v>
      </c>
      <c r="Q31" s="203" t="s">
        <v>520</v>
      </c>
      <c r="R31" s="181">
        <v>0</v>
      </c>
      <c r="T31" s="203" t="s">
        <v>520</v>
      </c>
      <c r="U31" s="181">
        <v>0</v>
      </c>
      <c r="W31" s="203" t="s">
        <v>520</v>
      </c>
      <c r="X31" s="181">
        <v>0</v>
      </c>
      <c r="Z31" s="203" t="s">
        <v>520</v>
      </c>
      <c r="AA31" s="181">
        <v>0</v>
      </c>
      <c r="AC31" s="204" t="s">
        <v>520</v>
      </c>
      <c r="AD31" s="181">
        <v>0</v>
      </c>
      <c r="AF31" s="203" t="s">
        <v>520</v>
      </c>
      <c r="AG31" s="181">
        <v>0</v>
      </c>
      <c r="AI31" s="182" t="s">
        <v>520</v>
      </c>
      <c r="AJ31" s="181">
        <v>0</v>
      </c>
      <c r="AL31" s="203" t="s">
        <v>520</v>
      </c>
      <c r="AM31" s="181">
        <v>0</v>
      </c>
      <c r="AO31" s="203" t="s">
        <v>520</v>
      </c>
      <c r="AP31" s="178">
        <v>0</v>
      </c>
      <c r="AR31" s="203" t="s">
        <v>520</v>
      </c>
      <c r="AS31" s="178">
        <v>0</v>
      </c>
      <c r="AU31" s="203" t="s">
        <v>520</v>
      </c>
      <c r="AV31" s="178">
        <v>0</v>
      </c>
    </row>
    <row r="32" spans="1:48" x14ac:dyDescent="0.3">
      <c r="B32" s="182" t="s">
        <v>21</v>
      </c>
      <c r="C32" s="181">
        <v>0</v>
      </c>
      <c r="E32" s="203" t="s">
        <v>21</v>
      </c>
      <c r="F32" s="181">
        <v>57044.444444444445</v>
      </c>
      <c r="H32" s="203" t="s">
        <v>21</v>
      </c>
      <c r="I32" s="181">
        <v>0</v>
      </c>
      <c r="K32" s="203" t="s">
        <v>21</v>
      </c>
      <c r="L32" s="181">
        <v>0</v>
      </c>
      <c r="N32" s="203" t="s">
        <v>21</v>
      </c>
      <c r="O32" s="181">
        <v>0</v>
      </c>
      <c r="Q32" s="203" t="s">
        <v>21</v>
      </c>
      <c r="R32" s="181">
        <v>0</v>
      </c>
      <c r="T32" s="203" t="s">
        <v>21</v>
      </c>
      <c r="U32" s="181">
        <v>0</v>
      </c>
      <c r="W32" s="203" t="s">
        <v>21</v>
      </c>
      <c r="X32" s="181">
        <v>21830.555555555555</v>
      </c>
      <c r="Z32" s="203" t="s">
        <v>21</v>
      </c>
      <c r="AA32" s="181">
        <v>43705.555555555555</v>
      </c>
      <c r="AC32" s="204" t="s">
        <v>21</v>
      </c>
      <c r="AD32" s="181">
        <v>21819.444444444445</v>
      </c>
      <c r="AF32" s="203" t="s">
        <v>21</v>
      </c>
      <c r="AG32" s="181">
        <v>0</v>
      </c>
      <c r="AI32" s="182" t="s">
        <v>21</v>
      </c>
      <c r="AJ32" s="181">
        <v>19133.333333333332</v>
      </c>
      <c r="AL32" s="203" t="s">
        <v>21</v>
      </c>
      <c r="AM32" s="181">
        <v>1255050</v>
      </c>
      <c r="AO32" s="203" t="s">
        <v>21</v>
      </c>
      <c r="AP32" s="178">
        <v>18741.681660000002</v>
      </c>
      <c r="AR32" s="203" t="s">
        <v>21</v>
      </c>
      <c r="AS32" s="178">
        <v>0</v>
      </c>
      <c r="AU32" s="203" t="s">
        <v>21</v>
      </c>
      <c r="AV32" s="178">
        <v>0</v>
      </c>
    </row>
    <row r="33" spans="1:48" x14ac:dyDescent="0.3">
      <c r="B33" s="182" t="s">
        <v>521</v>
      </c>
      <c r="C33" s="181">
        <v>0</v>
      </c>
      <c r="E33" s="203" t="s">
        <v>521</v>
      </c>
      <c r="F33" s="181">
        <v>0</v>
      </c>
      <c r="H33" s="203" t="s">
        <v>521</v>
      </c>
      <c r="I33" s="181">
        <v>0</v>
      </c>
      <c r="K33" s="203" t="s">
        <v>521</v>
      </c>
      <c r="L33" s="181">
        <v>0</v>
      </c>
      <c r="N33" s="203" t="s">
        <v>521</v>
      </c>
      <c r="O33" s="181">
        <v>0</v>
      </c>
      <c r="Q33" s="203" t="s">
        <v>521</v>
      </c>
      <c r="R33" s="181">
        <v>0</v>
      </c>
      <c r="T33" s="203" t="s">
        <v>521</v>
      </c>
      <c r="U33" s="181">
        <v>0</v>
      </c>
      <c r="W33" s="203" t="s">
        <v>521</v>
      </c>
      <c r="X33" s="181">
        <v>0</v>
      </c>
      <c r="Z33" s="203" t="s">
        <v>521</v>
      </c>
      <c r="AA33" s="181">
        <v>0</v>
      </c>
      <c r="AC33" s="204" t="s">
        <v>521</v>
      </c>
      <c r="AD33" s="181">
        <v>0</v>
      </c>
      <c r="AF33" s="203" t="s">
        <v>521</v>
      </c>
      <c r="AG33" s="181">
        <v>0</v>
      </c>
      <c r="AI33" s="182" t="s">
        <v>521</v>
      </c>
      <c r="AJ33" s="181">
        <v>0</v>
      </c>
      <c r="AL33" s="203" t="s">
        <v>521</v>
      </c>
      <c r="AM33" s="181">
        <v>0</v>
      </c>
      <c r="AO33" s="203" t="s">
        <v>521</v>
      </c>
      <c r="AP33" s="178">
        <v>0</v>
      </c>
      <c r="AR33" s="203" t="s">
        <v>521</v>
      </c>
      <c r="AS33" s="178">
        <v>0</v>
      </c>
      <c r="AU33" s="203" t="s">
        <v>521</v>
      </c>
      <c r="AV33" s="178">
        <v>0</v>
      </c>
    </row>
    <row r="36" spans="1:48" x14ac:dyDescent="0.3">
      <c r="A36" s="178" t="s">
        <v>524</v>
      </c>
      <c r="B36" s="188" t="s">
        <v>628</v>
      </c>
      <c r="C36" s="189"/>
      <c r="D36" s="185"/>
    </row>
    <row r="37" spans="1:48" x14ac:dyDescent="0.3">
      <c r="B37" s="188" t="s">
        <v>512</v>
      </c>
      <c r="C37" s="185"/>
      <c r="E37" s="205" t="s">
        <v>512</v>
      </c>
      <c r="F37" s="186"/>
      <c r="H37" s="205" t="s">
        <v>512</v>
      </c>
      <c r="I37" s="186"/>
      <c r="K37" s="205" t="s">
        <v>512</v>
      </c>
      <c r="L37" s="186"/>
      <c r="N37" s="205" t="s">
        <v>512</v>
      </c>
      <c r="O37" s="181"/>
      <c r="Q37" s="205" t="s">
        <v>512</v>
      </c>
      <c r="R37" s="181"/>
      <c r="T37" s="205" t="s">
        <v>512</v>
      </c>
      <c r="U37" s="186"/>
      <c r="W37" s="205" t="s">
        <v>512</v>
      </c>
      <c r="X37" s="186"/>
      <c r="Z37" s="205" t="s">
        <v>512</v>
      </c>
      <c r="AA37" s="181"/>
      <c r="AC37" s="206" t="s">
        <v>512</v>
      </c>
      <c r="AD37" s="187"/>
      <c r="AF37" s="205" t="s">
        <v>512</v>
      </c>
      <c r="AG37" s="186"/>
      <c r="AI37" s="188" t="s">
        <v>512</v>
      </c>
      <c r="AJ37" s="185"/>
      <c r="AL37" s="205" t="s">
        <v>512</v>
      </c>
      <c r="AM37" s="184"/>
      <c r="AO37" s="205" t="s">
        <v>512</v>
      </c>
      <c r="AR37" s="205" t="s">
        <v>512</v>
      </c>
      <c r="AU37" s="205" t="s">
        <v>512</v>
      </c>
    </row>
    <row r="38" spans="1:48" x14ac:dyDescent="0.3">
      <c r="B38" s="182" t="s">
        <v>513</v>
      </c>
      <c r="C38" s="181">
        <v>0</v>
      </c>
      <c r="E38" s="203" t="s">
        <v>513</v>
      </c>
      <c r="F38" s="181">
        <v>0</v>
      </c>
      <c r="H38" s="203" t="s">
        <v>513</v>
      </c>
      <c r="I38" s="181">
        <v>4102.7777777777774</v>
      </c>
      <c r="K38" s="203" t="s">
        <v>513</v>
      </c>
      <c r="L38" s="181">
        <v>0</v>
      </c>
      <c r="N38" s="203" t="s">
        <v>513</v>
      </c>
      <c r="O38" s="181">
        <v>0</v>
      </c>
      <c r="Q38" s="203" t="s">
        <v>513</v>
      </c>
      <c r="R38" s="181">
        <v>0</v>
      </c>
      <c r="T38" s="203" t="s">
        <v>513</v>
      </c>
      <c r="U38" s="181">
        <v>0</v>
      </c>
      <c r="W38" s="203" t="s">
        <v>513</v>
      </c>
      <c r="X38" s="181">
        <v>13.888888888888889</v>
      </c>
      <c r="Z38" s="203" t="s">
        <v>513</v>
      </c>
      <c r="AA38" s="181">
        <v>0</v>
      </c>
      <c r="AC38" s="204" t="s">
        <v>513</v>
      </c>
      <c r="AD38" s="181">
        <v>0</v>
      </c>
      <c r="AF38" s="203" t="s">
        <v>513</v>
      </c>
      <c r="AG38" s="181">
        <v>13.888888888888889</v>
      </c>
      <c r="AI38" s="182" t="s">
        <v>513</v>
      </c>
      <c r="AJ38" s="181">
        <v>0</v>
      </c>
      <c r="AL38" s="203" t="s">
        <v>513</v>
      </c>
      <c r="AM38" s="181">
        <v>0</v>
      </c>
      <c r="AO38" s="203" t="s">
        <v>513</v>
      </c>
      <c r="AP38" s="178">
        <v>0</v>
      </c>
      <c r="AR38" s="203" t="s">
        <v>513</v>
      </c>
      <c r="AS38" s="178">
        <v>2750.0022000000004</v>
      </c>
      <c r="AU38" s="203" t="s">
        <v>513</v>
      </c>
      <c r="AV38" s="178">
        <v>0</v>
      </c>
    </row>
    <row r="39" spans="1:48" x14ac:dyDescent="0.3">
      <c r="B39" s="182" t="s">
        <v>143</v>
      </c>
      <c r="C39" s="181">
        <v>102244.44444444444</v>
      </c>
      <c r="E39" s="203" t="s">
        <v>143</v>
      </c>
      <c r="F39" s="181">
        <v>4772450</v>
      </c>
      <c r="H39" s="203" t="s">
        <v>143</v>
      </c>
      <c r="I39" s="181">
        <v>234680.55555555556</v>
      </c>
      <c r="K39" s="203" t="s">
        <v>143</v>
      </c>
      <c r="L39" s="181">
        <v>19244.444444444445</v>
      </c>
      <c r="N39" s="203" t="s">
        <v>143</v>
      </c>
      <c r="O39" s="181">
        <v>226927.77777777778</v>
      </c>
      <c r="Q39" s="203" t="s">
        <v>143</v>
      </c>
      <c r="R39" s="181">
        <v>101216.66666666667</v>
      </c>
      <c r="T39" s="203" t="s">
        <v>143</v>
      </c>
      <c r="U39" s="181">
        <v>2737244.4444444445</v>
      </c>
      <c r="W39" s="203" t="s">
        <v>143</v>
      </c>
      <c r="X39" s="181">
        <v>2473577.777777778</v>
      </c>
      <c r="Z39" s="203" t="s">
        <v>143</v>
      </c>
      <c r="AA39" s="181">
        <v>3335219.4444444445</v>
      </c>
      <c r="AC39" s="204" t="s">
        <v>143</v>
      </c>
      <c r="AD39" s="181">
        <v>343791.66666666669</v>
      </c>
      <c r="AF39" s="203" t="s">
        <v>143</v>
      </c>
      <c r="AG39" s="181">
        <v>122847.22222222222</v>
      </c>
      <c r="AI39" s="182" t="s">
        <v>143</v>
      </c>
      <c r="AJ39" s="181">
        <v>33450</v>
      </c>
      <c r="AL39" s="203" t="s">
        <v>143</v>
      </c>
      <c r="AM39" s="181">
        <v>103819.44444444444</v>
      </c>
      <c r="AO39" s="203" t="s">
        <v>143</v>
      </c>
      <c r="AP39" s="178">
        <v>83427.844519999999</v>
      </c>
      <c r="AR39" s="203" t="s">
        <v>143</v>
      </c>
      <c r="AS39" s="178">
        <v>591175.47294000001</v>
      </c>
      <c r="AU39" s="203" t="s">
        <v>143</v>
      </c>
      <c r="AV39" s="178">
        <v>99236.190500000012</v>
      </c>
    </row>
    <row r="40" spans="1:48" x14ac:dyDescent="0.3">
      <c r="B40" s="182" t="s">
        <v>514</v>
      </c>
      <c r="C40" s="181">
        <v>151402.77777777778</v>
      </c>
      <c r="E40" s="203" t="s">
        <v>514</v>
      </c>
      <c r="F40" s="181">
        <v>1156866.6666666667</v>
      </c>
      <c r="H40" s="203" t="s">
        <v>514</v>
      </c>
      <c r="I40" s="181">
        <v>168400</v>
      </c>
      <c r="K40" s="203" t="s">
        <v>514</v>
      </c>
      <c r="L40" s="181">
        <v>15747.222222222223</v>
      </c>
      <c r="N40" s="203" t="s">
        <v>514</v>
      </c>
      <c r="O40" s="181">
        <v>174538.88888888888</v>
      </c>
      <c r="Q40" s="203" t="s">
        <v>514</v>
      </c>
      <c r="R40" s="181">
        <v>48194.444444444445</v>
      </c>
      <c r="T40" s="203" t="s">
        <v>514</v>
      </c>
      <c r="U40" s="181">
        <v>1565647.2222222222</v>
      </c>
      <c r="W40" s="203" t="s">
        <v>514</v>
      </c>
      <c r="X40" s="181">
        <v>403711.11111111112</v>
      </c>
      <c r="Z40" s="203" t="s">
        <v>514</v>
      </c>
      <c r="AA40" s="181">
        <v>939483.33333333337</v>
      </c>
      <c r="AC40" s="204" t="s">
        <v>514</v>
      </c>
      <c r="AD40" s="181">
        <v>342513.88888888888</v>
      </c>
      <c r="AF40" s="203" t="s">
        <v>514</v>
      </c>
      <c r="AG40" s="181">
        <v>138966.66666666666</v>
      </c>
      <c r="AI40" s="182" t="s">
        <v>514</v>
      </c>
      <c r="AJ40" s="181">
        <v>26644.444444444445</v>
      </c>
      <c r="AL40" s="203" t="s">
        <v>514</v>
      </c>
      <c r="AM40" s="181">
        <v>259377.77777777778</v>
      </c>
      <c r="AO40" s="203" t="s">
        <v>514</v>
      </c>
      <c r="AP40" s="178">
        <v>65897.274940000003</v>
      </c>
      <c r="AR40" s="203" t="s">
        <v>514</v>
      </c>
      <c r="AS40" s="178">
        <v>156236.23610000004</v>
      </c>
      <c r="AU40" s="203" t="s">
        <v>514</v>
      </c>
      <c r="AV40" s="178">
        <v>132725.10618</v>
      </c>
    </row>
    <row r="41" spans="1:48" x14ac:dyDescent="0.3">
      <c r="B41" s="182" t="s">
        <v>515</v>
      </c>
      <c r="C41" s="181">
        <v>39002.777777777781</v>
      </c>
      <c r="E41" s="203" t="s">
        <v>515</v>
      </c>
      <c r="F41" s="181">
        <v>67375</v>
      </c>
      <c r="H41" s="203" t="s">
        <v>515</v>
      </c>
      <c r="I41" s="181">
        <v>64708.333333333336</v>
      </c>
      <c r="K41" s="203" t="s">
        <v>515</v>
      </c>
      <c r="L41" s="181">
        <v>10066.666666666666</v>
      </c>
      <c r="N41" s="203" t="s">
        <v>515</v>
      </c>
      <c r="O41" s="181">
        <v>32950</v>
      </c>
      <c r="Q41" s="203" t="s">
        <v>515</v>
      </c>
      <c r="R41" s="181">
        <v>23416.666666666668</v>
      </c>
      <c r="T41" s="203" t="s">
        <v>515</v>
      </c>
      <c r="U41" s="181">
        <v>224066.66666666666</v>
      </c>
      <c r="W41" s="203" t="s">
        <v>515</v>
      </c>
      <c r="X41" s="181">
        <v>73227.777777777781</v>
      </c>
      <c r="Z41" s="203" t="s">
        <v>515</v>
      </c>
      <c r="AA41" s="181">
        <v>78358.333333333328</v>
      </c>
      <c r="AC41" s="204" t="s">
        <v>515</v>
      </c>
      <c r="AD41" s="181">
        <v>37480.555555555555</v>
      </c>
      <c r="AF41" s="203" t="s">
        <v>515</v>
      </c>
      <c r="AG41" s="181">
        <v>36130.555555555555</v>
      </c>
      <c r="AI41" s="182" t="s">
        <v>515</v>
      </c>
      <c r="AJ41" s="181">
        <v>11058.333333333334</v>
      </c>
      <c r="AL41" s="203" t="s">
        <v>515</v>
      </c>
      <c r="AM41" s="181">
        <v>59366.666666666664</v>
      </c>
      <c r="AO41" s="203" t="s">
        <v>515</v>
      </c>
      <c r="AP41" s="178">
        <v>18516.681479999999</v>
      </c>
      <c r="AR41" s="203" t="s">
        <v>515</v>
      </c>
      <c r="AS41" s="178">
        <v>61608.382620000004</v>
      </c>
      <c r="AU41" s="203" t="s">
        <v>515</v>
      </c>
      <c r="AV41" s="178">
        <v>50200.040160000004</v>
      </c>
    </row>
    <row r="42" spans="1:48" x14ac:dyDescent="0.3">
      <c r="B42" s="182" t="s">
        <v>516</v>
      </c>
      <c r="C42" s="181">
        <v>29005.555555555555</v>
      </c>
      <c r="E42" s="203" t="s">
        <v>516</v>
      </c>
      <c r="F42" s="181">
        <v>1817169.4444444445</v>
      </c>
      <c r="H42" s="203" t="s">
        <v>516</v>
      </c>
      <c r="I42" s="181">
        <v>296255.55555555556</v>
      </c>
      <c r="K42" s="203" t="s">
        <v>516</v>
      </c>
      <c r="L42" s="181">
        <v>24369.444444444445</v>
      </c>
      <c r="N42" s="203" t="s">
        <v>516</v>
      </c>
      <c r="O42" s="181">
        <v>225616.66666666666</v>
      </c>
      <c r="Q42" s="203" t="s">
        <v>516</v>
      </c>
      <c r="R42" s="181">
        <v>124500</v>
      </c>
      <c r="T42" s="203" t="s">
        <v>516</v>
      </c>
      <c r="U42" s="181">
        <v>2328883.3333333335</v>
      </c>
      <c r="W42" s="203" t="s">
        <v>516</v>
      </c>
      <c r="X42" s="181">
        <v>542272.22222222225</v>
      </c>
      <c r="Z42" s="203" t="s">
        <v>516</v>
      </c>
      <c r="AA42" s="181">
        <v>632727.77777777775</v>
      </c>
      <c r="AC42" s="204" t="s">
        <v>516</v>
      </c>
      <c r="AD42" s="181">
        <v>341730.55555555556</v>
      </c>
      <c r="AF42" s="203" t="s">
        <v>516</v>
      </c>
      <c r="AG42" s="181">
        <v>55225</v>
      </c>
      <c r="AI42" s="182" t="s">
        <v>516</v>
      </c>
      <c r="AJ42" s="181">
        <v>113711.11111111111</v>
      </c>
      <c r="AL42" s="203" t="s">
        <v>516</v>
      </c>
      <c r="AM42" s="181">
        <v>218247.22222222222</v>
      </c>
      <c r="AO42" s="203" t="s">
        <v>516</v>
      </c>
      <c r="AP42" s="178">
        <v>166402.91089999999</v>
      </c>
      <c r="AR42" s="203" t="s">
        <v>516</v>
      </c>
      <c r="AS42" s="178">
        <v>499778.17760000005</v>
      </c>
      <c r="AU42" s="203" t="s">
        <v>516</v>
      </c>
      <c r="AV42" s="178">
        <v>41477.810960000003</v>
      </c>
    </row>
    <row r="43" spans="1:48" x14ac:dyDescent="0.3">
      <c r="B43" s="182" t="s">
        <v>517</v>
      </c>
      <c r="C43" s="181">
        <v>0</v>
      </c>
      <c r="E43" s="203" t="s">
        <v>517</v>
      </c>
      <c r="F43" s="181">
        <v>694291.66666666663</v>
      </c>
      <c r="H43" s="203" t="s">
        <v>517</v>
      </c>
      <c r="I43" s="181">
        <v>0</v>
      </c>
      <c r="K43" s="203" t="s">
        <v>517</v>
      </c>
      <c r="L43" s="181">
        <v>0</v>
      </c>
      <c r="N43" s="203" t="s">
        <v>517</v>
      </c>
      <c r="O43" s="181">
        <v>0</v>
      </c>
      <c r="Q43" s="203" t="s">
        <v>517</v>
      </c>
      <c r="R43" s="181">
        <v>0</v>
      </c>
      <c r="T43" s="203" t="s">
        <v>517</v>
      </c>
      <c r="U43" s="181">
        <v>526411.11111111112</v>
      </c>
      <c r="W43" s="203" t="s">
        <v>517</v>
      </c>
      <c r="X43" s="181">
        <v>263205.55555555556</v>
      </c>
      <c r="Z43" s="203" t="s">
        <v>517</v>
      </c>
      <c r="AA43" s="181">
        <v>0</v>
      </c>
      <c r="AC43" s="204" t="s">
        <v>517</v>
      </c>
      <c r="AD43" s="181">
        <v>0</v>
      </c>
      <c r="AF43" s="203" t="s">
        <v>517</v>
      </c>
      <c r="AG43" s="181">
        <v>0</v>
      </c>
      <c r="AI43" s="182" t="s">
        <v>517</v>
      </c>
      <c r="AJ43" s="181">
        <v>0</v>
      </c>
      <c r="AL43" s="203" t="s">
        <v>517</v>
      </c>
      <c r="AM43" s="181">
        <v>0</v>
      </c>
      <c r="AO43" s="203" t="s">
        <v>517</v>
      </c>
      <c r="AP43" s="178">
        <v>0</v>
      </c>
      <c r="AR43" s="203" t="s">
        <v>517</v>
      </c>
      <c r="AS43" s="178">
        <v>0</v>
      </c>
      <c r="AU43" s="203" t="s">
        <v>517</v>
      </c>
      <c r="AV43" s="178">
        <v>0</v>
      </c>
    </row>
    <row r="44" spans="1:48" x14ac:dyDescent="0.3">
      <c r="B44" s="182" t="s">
        <v>168</v>
      </c>
      <c r="C44" s="181">
        <v>108011.11111111111</v>
      </c>
      <c r="E44" s="203" t="s">
        <v>168</v>
      </c>
      <c r="F44" s="181">
        <v>913508.33333333337</v>
      </c>
      <c r="H44" s="203" t="s">
        <v>168</v>
      </c>
      <c r="I44" s="181">
        <v>23405.555555555555</v>
      </c>
      <c r="K44" s="203" t="s">
        <v>168</v>
      </c>
      <c r="L44" s="181">
        <v>12083.333333333334</v>
      </c>
      <c r="N44" s="203" t="s">
        <v>168</v>
      </c>
      <c r="O44" s="181">
        <v>66786.111111111109</v>
      </c>
      <c r="Q44" s="203" t="s">
        <v>168</v>
      </c>
      <c r="R44" s="181">
        <v>21072.222222222223</v>
      </c>
      <c r="T44" s="203" t="s">
        <v>168</v>
      </c>
      <c r="U44" s="181">
        <v>186461.11111111112</v>
      </c>
      <c r="W44" s="203" t="s">
        <v>168</v>
      </c>
      <c r="X44" s="181">
        <v>309716.66666666669</v>
      </c>
      <c r="Z44" s="203" t="s">
        <v>168</v>
      </c>
      <c r="AA44" s="181">
        <v>339963.88888888888</v>
      </c>
      <c r="AC44" s="204" t="s">
        <v>168</v>
      </c>
      <c r="AD44" s="181">
        <v>57466.666666666664</v>
      </c>
      <c r="AF44" s="203" t="s">
        <v>168</v>
      </c>
      <c r="AG44" s="181">
        <v>80744.444444444438</v>
      </c>
      <c r="AI44" s="182" t="s">
        <v>168</v>
      </c>
      <c r="AJ44" s="181">
        <v>16036.111111111111</v>
      </c>
      <c r="AL44" s="203" t="s">
        <v>168</v>
      </c>
      <c r="AM44" s="181">
        <v>108875</v>
      </c>
      <c r="AO44" s="203" t="s">
        <v>168</v>
      </c>
      <c r="AP44" s="178">
        <v>30211.135280000002</v>
      </c>
      <c r="AR44" s="203" t="s">
        <v>168</v>
      </c>
      <c r="AS44" s="178">
        <v>234483.52092000001</v>
      </c>
      <c r="AU44" s="203" t="s">
        <v>168</v>
      </c>
      <c r="AV44" s="178">
        <v>47202.815540000003</v>
      </c>
    </row>
    <row r="45" spans="1:48" x14ac:dyDescent="0.3">
      <c r="B45" s="182" t="s">
        <v>511</v>
      </c>
      <c r="C45" s="181">
        <v>0</v>
      </c>
      <c r="E45" s="203" t="s">
        <v>511</v>
      </c>
      <c r="F45" s="181">
        <v>459938.88888888888</v>
      </c>
      <c r="H45" s="203" t="s">
        <v>511</v>
      </c>
      <c r="I45" s="181">
        <v>75</v>
      </c>
      <c r="K45" s="203" t="s">
        <v>511</v>
      </c>
      <c r="L45" s="181">
        <v>0</v>
      </c>
      <c r="N45" s="203" t="s">
        <v>511</v>
      </c>
      <c r="O45" s="181">
        <v>475</v>
      </c>
      <c r="Q45" s="203" t="s">
        <v>511</v>
      </c>
      <c r="R45" s="181">
        <v>0</v>
      </c>
      <c r="T45" s="203" t="s">
        <v>511</v>
      </c>
      <c r="U45" s="181">
        <v>284602.77777777775</v>
      </c>
      <c r="W45" s="203" t="s">
        <v>511</v>
      </c>
      <c r="X45" s="181">
        <v>27263.888888888891</v>
      </c>
      <c r="Z45" s="203" t="s">
        <v>511</v>
      </c>
      <c r="AA45" s="181">
        <v>16827.777777777777</v>
      </c>
      <c r="AC45" s="204" t="s">
        <v>511</v>
      </c>
      <c r="AD45" s="181">
        <v>2.7777777777777777</v>
      </c>
      <c r="AF45" s="203" t="s">
        <v>511</v>
      </c>
      <c r="AG45" s="181">
        <v>0</v>
      </c>
      <c r="AI45" s="182" t="s">
        <v>511</v>
      </c>
      <c r="AJ45" s="181">
        <v>0</v>
      </c>
      <c r="AL45" s="203" t="s">
        <v>511</v>
      </c>
      <c r="AM45" s="181">
        <v>0</v>
      </c>
      <c r="AO45" s="203" t="s">
        <v>511</v>
      </c>
      <c r="AP45" s="178">
        <v>0</v>
      </c>
      <c r="AR45" s="203" t="s">
        <v>511</v>
      </c>
      <c r="AS45" s="178">
        <v>5430.5599000000002</v>
      </c>
      <c r="AU45" s="203" t="s">
        <v>511</v>
      </c>
      <c r="AV45" s="178">
        <v>0</v>
      </c>
    </row>
    <row r="46" spans="1:48" x14ac:dyDescent="0.3">
      <c r="B46" s="182" t="s">
        <v>518</v>
      </c>
      <c r="C46" s="181">
        <v>0</v>
      </c>
      <c r="E46" s="203" t="s">
        <v>518</v>
      </c>
      <c r="F46" s="181">
        <v>317330.55555555556</v>
      </c>
      <c r="H46" s="203" t="s">
        <v>518</v>
      </c>
      <c r="I46" s="181">
        <v>0</v>
      </c>
      <c r="K46" s="203" t="s">
        <v>518</v>
      </c>
      <c r="L46" s="181">
        <v>0</v>
      </c>
      <c r="N46" s="203" t="s">
        <v>518</v>
      </c>
      <c r="O46" s="181">
        <v>0</v>
      </c>
      <c r="Q46" s="203" t="s">
        <v>518</v>
      </c>
      <c r="R46" s="181">
        <v>0</v>
      </c>
      <c r="T46" s="203" t="s">
        <v>518</v>
      </c>
      <c r="U46" s="181">
        <v>223216.66666666666</v>
      </c>
      <c r="W46" s="203" t="s">
        <v>518</v>
      </c>
      <c r="X46" s="181">
        <v>0</v>
      </c>
      <c r="Z46" s="203" t="s">
        <v>518</v>
      </c>
      <c r="AA46" s="181">
        <v>0</v>
      </c>
      <c r="AC46" s="204" t="s">
        <v>518</v>
      </c>
      <c r="AD46" s="181">
        <v>0</v>
      </c>
      <c r="AF46" s="203" t="s">
        <v>518</v>
      </c>
      <c r="AG46" s="181">
        <v>0</v>
      </c>
      <c r="AI46" s="182" t="s">
        <v>518</v>
      </c>
      <c r="AJ46" s="181">
        <v>0</v>
      </c>
      <c r="AL46" s="203" t="s">
        <v>518</v>
      </c>
      <c r="AM46" s="181">
        <v>0</v>
      </c>
      <c r="AO46" s="203" t="s">
        <v>518</v>
      </c>
      <c r="AP46" s="178">
        <v>0</v>
      </c>
      <c r="AR46" s="203" t="s">
        <v>518</v>
      </c>
      <c r="AS46" s="178">
        <v>0</v>
      </c>
      <c r="AU46" s="203" t="s">
        <v>518</v>
      </c>
      <c r="AV46" s="178">
        <v>0</v>
      </c>
    </row>
    <row r="47" spans="1:48" x14ac:dyDescent="0.3">
      <c r="B47" s="182" t="s">
        <v>519</v>
      </c>
      <c r="C47" s="181">
        <v>0</v>
      </c>
      <c r="E47" s="203" t="s">
        <v>519</v>
      </c>
      <c r="F47" s="181">
        <v>5886.1111111111113</v>
      </c>
      <c r="H47" s="203" t="s">
        <v>519</v>
      </c>
      <c r="I47" s="181">
        <v>0</v>
      </c>
      <c r="K47" s="203" t="s">
        <v>519</v>
      </c>
      <c r="L47" s="181">
        <v>0</v>
      </c>
      <c r="N47" s="203" t="s">
        <v>519</v>
      </c>
      <c r="O47" s="181">
        <v>0</v>
      </c>
      <c r="Q47" s="203" t="s">
        <v>519</v>
      </c>
      <c r="R47" s="181">
        <v>0</v>
      </c>
      <c r="T47" s="203" t="s">
        <v>519</v>
      </c>
      <c r="U47" s="181">
        <v>0</v>
      </c>
      <c r="W47" s="203" t="s">
        <v>519</v>
      </c>
      <c r="X47" s="181">
        <v>0</v>
      </c>
      <c r="Z47" s="203" t="s">
        <v>519</v>
      </c>
      <c r="AA47" s="181">
        <v>0</v>
      </c>
      <c r="AC47" s="204" t="s">
        <v>519</v>
      </c>
      <c r="AD47" s="181">
        <v>0</v>
      </c>
      <c r="AF47" s="203" t="s">
        <v>519</v>
      </c>
      <c r="AG47" s="181">
        <v>0</v>
      </c>
      <c r="AI47" s="182" t="s">
        <v>519</v>
      </c>
      <c r="AJ47" s="181">
        <v>0</v>
      </c>
      <c r="AL47" s="203" t="s">
        <v>519</v>
      </c>
      <c r="AM47" s="181">
        <v>0</v>
      </c>
      <c r="AO47" s="203" t="s">
        <v>519</v>
      </c>
      <c r="AP47" s="178">
        <v>0</v>
      </c>
      <c r="AR47" s="203" t="s">
        <v>519</v>
      </c>
      <c r="AS47" s="178">
        <v>997.22302000000002</v>
      </c>
      <c r="AU47" s="203" t="s">
        <v>519</v>
      </c>
      <c r="AV47" s="178">
        <v>0</v>
      </c>
    </row>
    <row r="48" spans="1:48" x14ac:dyDescent="0.3">
      <c r="B48" s="182" t="s">
        <v>95</v>
      </c>
      <c r="C48" s="181">
        <v>0</v>
      </c>
      <c r="E48" s="203" t="s">
        <v>95</v>
      </c>
      <c r="F48" s="181">
        <v>0</v>
      </c>
      <c r="H48" s="203" t="s">
        <v>95</v>
      </c>
      <c r="I48" s="181">
        <v>0</v>
      </c>
      <c r="K48" s="203" t="s">
        <v>95</v>
      </c>
      <c r="L48" s="181">
        <v>0</v>
      </c>
      <c r="N48" s="203" t="s">
        <v>95</v>
      </c>
      <c r="O48" s="181">
        <v>0</v>
      </c>
      <c r="Q48" s="203" t="s">
        <v>95</v>
      </c>
      <c r="R48" s="181">
        <v>0</v>
      </c>
      <c r="T48" s="203" t="s">
        <v>95</v>
      </c>
      <c r="U48" s="181">
        <v>0</v>
      </c>
      <c r="W48" s="203" t="s">
        <v>95</v>
      </c>
      <c r="X48" s="181">
        <v>0</v>
      </c>
      <c r="Z48" s="203" t="s">
        <v>95</v>
      </c>
      <c r="AA48" s="181">
        <v>0</v>
      </c>
      <c r="AC48" s="204" t="s">
        <v>95</v>
      </c>
      <c r="AD48" s="181">
        <v>0</v>
      </c>
      <c r="AF48" s="203" t="s">
        <v>95</v>
      </c>
      <c r="AG48" s="181">
        <v>0</v>
      </c>
      <c r="AI48" s="182" t="s">
        <v>95</v>
      </c>
      <c r="AJ48" s="181">
        <v>0</v>
      </c>
      <c r="AL48" s="203" t="s">
        <v>95</v>
      </c>
      <c r="AM48" s="181">
        <v>0</v>
      </c>
      <c r="AO48" s="203" t="s">
        <v>95</v>
      </c>
      <c r="AP48" s="178">
        <v>0</v>
      </c>
      <c r="AR48" s="203" t="s">
        <v>95</v>
      </c>
      <c r="AS48" s="178">
        <v>0</v>
      </c>
      <c r="AU48" s="203" t="s">
        <v>95</v>
      </c>
      <c r="AV48" s="178">
        <v>0</v>
      </c>
    </row>
    <row r="49" spans="1:48" x14ac:dyDescent="0.3">
      <c r="B49" s="182" t="s">
        <v>520</v>
      </c>
      <c r="C49" s="181">
        <v>0</v>
      </c>
      <c r="E49" s="203" t="s">
        <v>520</v>
      </c>
      <c r="F49" s="181">
        <v>0</v>
      </c>
      <c r="H49" s="203" t="s">
        <v>520</v>
      </c>
      <c r="I49" s="181">
        <v>0</v>
      </c>
      <c r="K49" s="203" t="s">
        <v>520</v>
      </c>
      <c r="L49" s="181">
        <v>0</v>
      </c>
      <c r="N49" s="203" t="s">
        <v>520</v>
      </c>
      <c r="O49" s="181">
        <v>0</v>
      </c>
      <c r="Q49" s="203" t="s">
        <v>520</v>
      </c>
      <c r="R49" s="181">
        <v>0</v>
      </c>
      <c r="T49" s="203" t="s">
        <v>520</v>
      </c>
      <c r="U49" s="181">
        <v>0</v>
      </c>
      <c r="W49" s="203" t="s">
        <v>520</v>
      </c>
      <c r="X49" s="181">
        <v>0</v>
      </c>
      <c r="Z49" s="203" t="s">
        <v>520</v>
      </c>
      <c r="AA49" s="181">
        <v>0</v>
      </c>
      <c r="AC49" s="204" t="s">
        <v>520</v>
      </c>
      <c r="AD49" s="181">
        <v>0</v>
      </c>
      <c r="AF49" s="203" t="s">
        <v>520</v>
      </c>
      <c r="AG49" s="181">
        <v>0</v>
      </c>
      <c r="AI49" s="182" t="s">
        <v>520</v>
      </c>
      <c r="AJ49" s="181">
        <v>0</v>
      </c>
      <c r="AL49" s="203" t="s">
        <v>520</v>
      </c>
      <c r="AM49" s="181">
        <v>0</v>
      </c>
      <c r="AO49" s="203" t="s">
        <v>520</v>
      </c>
      <c r="AP49" s="178">
        <v>0</v>
      </c>
      <c r="AR49" s="203" t="s">
        <v>520</v>
      </c>
      <c r="AS49" s="178">
        <v>0</v>
      </c>
      <c r="AU49" s="203" t="s">
        <v>520</v>
      </c>
      <c r="AV49" s="178">
        <v>0</v>
      </c>
    </row>
    <row r="50" spans="1:48" x14ac:dyDescent="0.3">
      <c r="B50" s="182" t="s">
        <v>21</v>
      </c>
      <c r="C50" s="181">
        <v>0</v>
      </c>
      <c r="E50" s="203" t="s">
        <v>21</v>
      </c>
      <c r="F50" s="181">
        <v>57080.555555555555</v>
      </c>
      <c r="H50" s="203" t="s">
        <v>21</v>
      </c>
      <c r="I50" s="181">
        <v>0</v>
      </c>
      <c r="K50" s="203" t="s">
        <v>21</v>
      </c>
      <c r="L50" s="181">
        <v>0</v>
      </c>
      <c r="N50" s="203" t="s">
        <v>21</v>
      </c>
      <c r="O50" s="181">
        <v>0</v>
      </c>
      <c r="Q50" s="203" t="s">
        <v>21</v>
      </c>
      <c r="R50" s="181">
        <v>0</v>
      </c>
      <c r="T50" s="203" t="s">
        <v>21</v>
      </c>
      <c r="U50" s="181">
        <v>0</v>
      </c>
      <c r="W50" s="203" t="s">
        <v>21</v>
      </c>
      <c r="X50" s="181">
        <v>21802.777777777777</v>
      </c>
      <c r="Z50" s="203" t="s">
        <v>21</v>
      </c>
      <c r="AA50" s="181">
        <v>43672.222222222219</v>
      </c>
      <c r="AC50" s="204" t="s">
        <v>21</v>
      </c>
      <c r="AD50" s="181">
        <v>21841.666666666668</v>
      </c>
      <c r="AF50" s="203" t="s">
        <v>21</v>
      </c>
      <c r="AG50" s="181">
        <v>0</v>
      </c>
      <c r="AI50" s="182" t="s">
        <v>21</v>
      </c>
      <c r="AJ50" s="181">
        <v>19200</v>
      </c>
      <c r="AL50" s="203" t="s">
        <v>21</v>
      </c>
      <c r="AM50" s="181">
        <v>1246013.888888889</v>
      </c>
      <c r="AO50" s="203" t="s">
        <v>21</v>
      </c>
      <c r="AP50" s="178">
        <v>18819.459500000001</v>
      </c>
      <c r="AR50" s="203" t="s">
        <v>21</v>
      </c>
      <c r="AS50" s="178">
        <v>0</v>
      </c>
      <c r="AU50" s="203" t="s">
        <v>21</v>
      </c>
      <c r="AV50" s="178">
        <v>0</v>
      </c>
    </row>
    <row r="51" spans="1:48" x14ac:dyDescent="0.3">
      <c r="B51" s="182" t="s">
        <v>521</v>
      </c>
      <c r="C51" s="181">
        <v>0</v>
      </c>
      <c r="E51" s="203" t="s">
        <v>521</v>
      </c>
      <c r="F51" s="181">
        <v>0</v>
      </c>
      <c r="H51" s="203" t="s">
        <v>521</v>
      </c>
      <c r="I51" s="181">
        <v>0</v>
      </c>
      <c r="K51" s="203" t="s">
        <v>521</v>
      </c>
      <c r="L51" s="181">
        <v>0</v>
      </c>
      <c r="N51" s="203" t="s">
        <v>521</v>
      </c>
      <c r="O51" s="181">
        <v>0</v>
      </c>
      <c r="Q51" s="203" t="s">
        <v>521</v>
      </c>
      <c r="R51" s="181">
        <v>0</v>
      </c>
      <c r="T51" s="203" t="s">
        <v>521</v>
      </c>
      <c r="U51" s="181">
        <v>0</v>
      </c>
      <c r="W51" s="203" t="s">
        <v>521</v>
      </c>
      <c r="X51" s="181">
        <v>0</v>
      </c>
      <c r="Z51" s="203" t="s">
        <v>521</v>
      </c>
      <c r="AA51" s="181">
        <v>0</v>
      </c>
      <c r="AC51" s="204" t="s">
        <v>521</v>
      </c>
      <c r="AD51" s="181">
        <v>0</v>
      </c>
      <c r="AF51" s="203" t="s">
        <v>521</v>
      </c>
      <c r="AG51" s="181">
        <v>0</v>
      </c>
      <c r="AI51" s="182" t="s">
        <v>521</v>
      </c>
      <c r="AJ51" s="181">
        <v>0</v>
      </c>
      <c r="AL51" s="203" t="s">
        <v>521</v>
      </c>
      <c r="AM51" s="181">
        <v>0</v>
      </c>
      <c r="AO51" s="203" t="s">
        <v>521</v>
      </c>
      <c r="AP51" s="178">
        <v>0</v>
      </c>
      <c r="AR51" s="203" t="s">
        <v>521</v>
      </c>
      <c r="AS51" s="178">
        <v>0</v>
      </c>
      <c r="AU51" s="203" t="s">
        <v>521</v>
      </c>
      <c r="AV51" s="178">
        <v>0</v>
      </c>
    </row>
    <row r="54" spans="1:48" x14ac:dyDescent="0.3">
      <c r="A54" s="178" t="s">
        <v>523</v>
      </c>
      <c r="B54" s="197">
        <v>0.4</v>
      </c>
    </row>
    <row r="55" spans="1:48" x14ac:dyDescent="0.3">
      <c r="A55" s="178" t="s">
        <v>522</v>
      </c>
      <c r="B55" s="197">
        <v>0.4</v>
      </c>
    </row>
    <row r="56" spans="1:48" x14ac:dyDescent="0.3">
      <c r="A56" s="178" t="s">
        <v>524</v>
      </c>
      <c r="B56" s="197">
        <v>0.2</v>
      </c>
      <c r="F56" s="178" t="s">
        <v>669</v>
      </c>
      <c r="R56" s="178">
        <f>277.778*368.08</f>
        <v>102244.52624000001</v>
      </c>
    </row>
    <row r="57" spans="1:48" x14ac:dyDescent="0.3">
      <c r="B57" s="202" t="s">
        <v>668</v>
      </c>
      <c r="C57" s="190">
        <v>52045</v>
      </c>
      <c r="D57" s="190">
        <v>241887</v>
      </c>
      <c r="E57" s="190">
        <v>53628</v>
      </c>
      <c r="F57" s="190">
        <v>5500</v>
      </c>
      <c r="G57" s="190">
        <v>43200</v>
      </c>
      <c r="H57" s="190">
        <v>33740</v>
      </c>
      <c r="I57" s="190">
        <v>498588</v>
      </c>
      <c r="J57" s="190">
        <v>122120</v>
      </c>
      <c r="K57" s="190">
        <v>210887</v>
      </c>
      <c r="L57" s="190">
        <v>73960</v>
      </c>
      <c r="M57" s="190">
        <v>24962</v>
      </c>
      <c r="N57" s="190">
        <v>2500</v>
      </c>
      <c r="O57" s="190">
        <v>45000</v>
      </c>
      <c r="P57" s="190">
        <v>5500</v>
      </c>
      <c r="Q57" s="190">
        <v>40946</v>
      </c>
      <c r="R57" s="190">
        <v>22500</v>
      </c>
    </row>
    <row r="58" spans="1:48" x14ac:dyDescent="0.3">
      <c r="C58" s="178" t="str">
        <f>C2</f>
        <v>Warehouse</v>
      </c>
      <c r="D58" s="178" t="str">
        <f>E2</f>
        <v>Hospitals</v>
      </c>
      <c r="E58" s="178" t="str">
        <f>H2</f>
        <v>Medium Office</v>
      </c>
      <c r="F58" s="178" t="str">
        <f>K2</f>
        <v>Small Office</v>
      </c>
      <c r="G58" s="178" t="str">
        <f>N2</f>
        <v>Small Hotel</v>
      </c>
      <c r="H58" s="178" t="str">
        <f>Q2</f>
        <v>MidRiseApt</v>
      </c>
      <c r="I58" s="178" t="str">
        <f>T2</f>
        <v>Lg Office</v>
      </c>
      <c r="J58" s="178" t="str">
        <f>W2</f>
        <v>Lg Hotel</v>
      </c>
      <c r="K58" s="178" t="str">
        <f>Z2</f>
        <v>2nd School</v>
      </c>
      <c r="L58" s="178" t="str">
        <f>AC2</f>
        <v>Primary School</v>
      </c>
      <c r="M58" s="178" t="str">
        <f>AF2</f>
        <v>Standalone Retail</v>
      </c>
      <c r="N58" s="178" t="str">
        <f>AI2</f>
        <v>Quick Service Restaurant</v>
      </c>
      <c r="O58" s="178" t="str">
        <f>AL2</f>
        <v>Supermarket</v>
      </c>
      <c r="P58" s="178" t="str">
        <f>AO2</f>
        <v>Full Service Restaurant</v>
      </c>
      <c r="Q58" s="178" t="str">
        <f>AR2</f>
        <v>Outpatient Healthcare</v>
      </c>
      <c r="R58" s="178" t="str">
        <f>AU2</f>
        <v>Retail Stripmall</v>
      </c>
    </row>
    <row r="59" spans="1:48" x14ac:dyDescent="0.3">
      <c r="B59" s="201" t="str">
        <f t="shared" ref="B59:B73" si="0">B3</f>
        <v>Electricity (kWh)</v>
      </c>
    </row>
    <row r="60" spans="1:48" x14ac:dyDescent="0.3">
      <c r="B60" s="178" t="str">
        <f t="shared" si="0"/>
        <v>Heating</v>
      </c>
      <c r="C60" s="178">
        <f t="shared" ref="C60:C73" si="1">C4*$B$54+C20*$B$55+C38*$B$56</f>
        <v>0</v>
      </c>
      <c r="D60" s="178">
        <f t="shared" ref="D60:D73" si="2">F4*$B$54+F20*$B$55+F38*$B$56</f>
        <v>0</v>
      </c>
      <c r="E60" s="178">
        <f t="shared" ref="E60:E73" si="3">I4*$B$54+I20*$B$55+I38*$B$56</f>
        <v>7163.8888888888896</v>
      </c>
      <c r="F60" s="178">
        <f t="shared" ref="F60:F73" si="4">L4*$B$54+L20*$B$55+L38*$B$56</f>
        <v>0</v>
      </c>
      <c r="G60" s="178">
        <f t="shared" ref="G60:G73" si="5">O4*$B$54+O20*$B$55+O38*$B$56</f>
        <v>74.444444444444443</v>
      </c>
      <c r="H60" s="178">
        <f t="shared" ref="H60:H73" si="6">R4*$B$54+R20*$B$55+R38*$B$56</f>
        <v>0</v>
      </c>
      <c r="I60" s="178">
        <f t="shared" ref="I60:I73" si="7">U4*$B$54+U20*$B$55+U38*$B$56</f>
        <v>0</v>
      </c>
      <c r="J60" s="178">
        <f t="shared" ref="J60:J73" si="8">X4*$B$54+X20*$B$55+X38*$B$56</f>
        <v>162.77777777777777</v>
      </c>
      <c r="K60" s="178">
        <f t="shared" ref="K60:K73" si="9">AA4*$B$54+AA20*$B$55+AA38*$B$56</f>
        <v>0</v>
      </c>
      <c r="L60" s="178">
        <f t="shared" ref="L60:L73" si="10">AD4*$B$54+AD20*$B$55+AD38*$B$56</f>
        <v>0</v>
      </c>
      <c r="M60" s="178">
        <f t="shared" ref="M60:M73" si="11">AG4*$B$54+AG20*$B$55+AG38*$B$56</f>
        <v>23.888888888888889</v>
      </c>
      <c r="N60" s="178">
        <f t="shared" ref="N60:N73" si="12">AJ4*$B$54+AJ20*$B$55+AJ38*$B$56</f>
        <v>0</v>
      </c>
      <c r="O60" s="178">
        <f t="shared" ref="O60:O73" si="13">AM4*$B$54+AM20*$B$55+AM38*$B$56</f>
        <v>0</v>
      </c>
      <c r="P60" s="178">
        <f t="shared" ref="P60:P73" si="14">AP4*$B$54+AP20*$B$55+AP38*$B$56</f>
        <v>0</v>
      </c>
      <c r="Q60" s="178">
        <f t="shared" ref="Q60:Q73" si="15">AS4*$B$54+AS20*$B$55+AS38*$B$56</f>
        <v>9963.3413040000014</v>
      </c>
      <c r="R60" s="178">
        <f t="shared" ref="R60:R73" si="16">AV4*$B$54+AV20*$B$55+AV38*$B$56</f>
        <v>0</v>
      </c>
    </row>
    <row r="61" spans="1:48" x14ac:dyDescent="0.3">
      <c r="B61" s="178" t="str">
        <f t="shared" si="0"/>
        <v>Cooling</v>
      </c>
      <c r="C61" s="178">
        <f t="shared" si="1"/>
        <v>37036.666666666672</v>
      </c>
      <c r="D61" s="178">
        <f t="shared" si="2"/>
        <v>5887782.222222222</v>
      </c>
      <c r="E61" s="178">
        <f t="shared" si="3"/>
        <v>305922.77777777781</v>
      </c>
      <c r="F61" s="178">
        <f t="shared" si="4"/>
        <v>28941.111111111113</v>
      </c>
      <c r="G61" s="178">
        <f t="shared" si="5"/>
        <v>282602.22222222225</v>
      </c>
      <c r="H61" s="178">
        <f t="shared" si="6"/>
        <v>156412.22222222225</v>
      </c>
      <c r="I61" s="178">
        <f t="shared" si="7"/>
        <v>3262108.888888889</v>
      </c>
      <c r="J61" s="178">
        <f t="shared" si="8"/>
        <v>4746890</v>
      </c>
      <c r="K61" s="178">
        <f t="shared" si="9"/>
        <v>3081706.111111111</v>
      </c>
      <c r="L61" s="178">
        <f t="shared" si="10"/>
        <v>441747.22222222225</v>
      </c>
      <c r="M61" s="178">
        <f t="shared" si="11"/>
        <v>163979.44444444444</v>
      </c>
      <c r="N61" s="178">
        <f t="shared" si="12"/>
        <v>39052.222222222219</v>
      </c>
      <c r="O61" s="178">
        <f t="shared" si="13"/>
        <v>148116.11111111112</v>
      </c>
      <c r="P61" s="178">
        <f t="shared" si="14"/>
        <v>100514.52485600002</v>
      </c>
      <c r="Q61" s="178">
        <f t="shared" si="15"/>
        <v>749290.0438760001</v>
      </c>
      <c r="R61" s="178">
        <f t="shared" si="16"/>
        <v>163689.575396</v>
      </c>
    </row>
    <row r="62" spans="1:48" x14ac:dyDescent="0.3">
      <c r="B62" s="178" t="str">
        <f t="shared" si="0"/>
        <v>Interior Lighting</v>
      </c>
      <c r="C62" s="178">
        <f t="shared" si="1"/>
        <v>101129.44444444445</v>
      </c>
      <c r="D62" s="178">
        <f t="shared" si="2"/>
        <v>2092486.6666666665</v>
      </c>
      <c r="E62" s="178">
        <f t="shared" si="3"/>
        <v>245151.11111111112</v>
      </c>
      <c r="F62" s="178">
        <f t="shared" si="4"/>
        <v>25958.333333333336</v>
      </c>
      <c r="G62" s="178">
        <f t="shared" si="5"/>
        <v>252761.11111111115</v>
      </c>
      <c r="H62" s="178">
        <f t="shared" si="6"/>
        <v>60550.000000000007</v>
      </c>
      <c r="I62" s="178">
        <f t="shared" si="7"/>
        <v>2191905</v>
      </c>
      <c r="J62" s="178">
        <f t="shared" si="8"/>
        <v>583451.11111111112</v>
      </c>
      <c r="K62" s="178">
        <f t="shared" si="9"/>
        <v>1098225.5555555555</v>
      </c>
      <c r="L62" s="178">
        <f t="shared" si="10"/>
        <v>479807.22222222225</v>
      </c>
      <c r="M62" s="178">
        <f t="shared" si="11"/>
        <v>243588.88888888891</v>
      </c>
      <c r="N62" s="178">
        <f t="shared" si="12"/>
        <v>34148.888888888891</v>
      </c>
      <c r="O62" s="178">
        <f t="shared" si="13"/>
        <v>388020.00000000006</v>
      </c>
      <c r="P62" s="178">
        <f t="shared" si="14"/>
        <v>77579.506508000006</v>
      </c>
      <c r="Q62" s="178">
        <f t="shared" si="15"/>
        <v>208060.72200400004</v>
      </c>
      <c r="R62" s="178">
        <f t="shared" si="16"/>
        <v>260545.20843600002</v>
      </c>
    </row>
    <row r="63" spans="1:48" x14ac:dyDescent="0.3">
      <c r="B63" s="178" t="str">
        <f t="shared" si="0"/>
        <v>Exterior Lighting</v>
      </c>
      <c r="C63" s="178">
        <f t="shared" si="1"/>
        <v>46118.333333333328</v>
      </c>
      <c r="D63" s="178">
        <f t="shared" si="2"/>
        <v>86335</v>
      </c>
      <c r="E63" s="178">
        <f t="shared" si="3"/>
        <v>75217.222222222219</v>
      </c>
      <c r="F63" s="178">
        <f t="shared" si="4"/>
        <v>11684.444444444445</v>
      </c>
      <c r="G63" s="178">
        <f t="shared" si="5"/>
        <v>65058.888888888891</v>
      </c>
      <c r="H63" s="178">
        <f t="shared" si="6"/>
        <v>27187.777777777781</v>
      </c>
      <c r="I63" s="178">
        <f t="shared" si="7"/>
        <v>260197.77777777781</v>
      </c>
      <c r="J63" s="178">
        <f t="shared" si="8"/>
        <v>111947.7777777778</v>
      </c>
      <c r="K63" s="178">
        <f t="shared" si="9"/>
        <v>92160.555555555562</v>
      </c>
      <c r="L63" s="178">
        <f t="shared" si="10"/>
        <v>44278.333333333336</v>
      </c>
      <c r="M63" s="178">
        <f t="shared" si="11"/>
        <v>42177.222222222226</v>
      </c>
      <c r="N63" s="178">
        <f t="shared" si="12"/>
        <v>12576.111111111113</v>
      </c>
      <c r="O63" s="178">
        <f t="shared" si="13"/>
        <v>69246.666666666672</v>
      </c>
      <c r="P63" s="178">
        <f t="shared" si="14"/>
        <v>21476.683848000004</v>
      </c>
      <c r="Q63" s="178">
        <f t="shared" si="15"/>
        <v>71595.057276000007</v>
      </c>
      <c r="R63" s="178">
        <f t="shared" si="16"/>
        <v>57242.268016000002</v>
      </c>
    </row>
    <row r="64" spans="1:48" x14ac:dyDescent="0.3">
      <c r="B64" s="178" t="str">
        <f t="shared" si="0"/>
        <v>Interior Equipment</v>
      </c>
      <c r="C64" s="178">
        <f t="shared" si="1"/>
        <v>29005.555555555555</v>
      </c>
      <c r="D64" s="178">
        <f t="shared" si="2"/>
        <v>1817169.4444444447</v>
      </c>
      <c r="E64" s="178">
        <f t="shared" si="3"/>
        <v>296255.55555555556</v>
      </c>
      <c r="F64" s="178">
        <f t="shared" si="4"/>
        <v>24369.444444444449</v>
      </c>
      <c r="G64" s="178">
        <f t="shared" si="5"/>
        <v>225616.66666666669</v>
      </c>
      <c r="H64" s="178">
        <f t="shared" si="6"/>
        <v>124500</v>
      </c>
      <c r="I64" s="178">
        <f t="shared" si="7"/>
        <v>2328883.333333334</v>
      </c>
      <c r="J64" s="178">
        <f t="shared" si="8"/>
        <v>542272.22222222225</v>
      </c>
      <c r="K64" s="178">
        <f t="shared" si="9"/>
        <v>632727.77777777775</v>
      </c>
      <c r="L64" s="178">
        <f t="shared" si="10"/>
        <v>341730.55555555556</v>
      </c>
      <c r="M64" s="178">
        <f t="shared" si="11"/>
        <v>55225</v>
      </c>
      <c r="N64" s="178">
        <f t="shared" si="12"/>
        <v>113711.11111111111</v>
      </c>
      <c r="O64" s="178">
        <f t="shared" si="13"/>
        <v>218247.22222222222</v>
      </c>
      <c r="P64" s="178">
        <f t="shared" si="14"/>
        <v>166402.91089999999</v>
      </c>
      <c r="Q64" s="178">
        <f t="shared" si="15"/>
        <v>499778.17760000005</v>
      </c>
      <c r="R64" s="178">
        <f t="shared" si="16"/>
        <v>41477.810960000003</v>
      </c>
    </row>
    <row r="65" spans="2:25" x14ac:dyDescent="0.3">
      <c r="B65" s="178" t="str">
        <f t="shared" si="0"/>
        <v>Exterior Equipment</v>
      </c>
      <c r="C65" s="178">
        <f t="shared" si="1"/>
        <v>0</v>
      </c>
      <c r="D65" s="178">
        <f t="shared" si="2"/>
        <v>694291.66666666674</v>
      </c>
      <c r="E65" s="178">
        <f t="shared" si="3"/>
        <v>0</v>
      </c>
      <c r="F65" s="178">
        <f t="shared" si="4"/>
        <v>0</v>
      </c>
      <c r="G65" s="178">
        <f t="shared" si="5"/>
        <v>0</v>
      </c>
      <c r="H65" s="178">
        <f t="shared" si="6"/>
        <v>0</v>
      </c>
      <c r="I65" s="178">
        <f t="shared" si="7"/>
        <v>526411.11111111112</v>
      </c>
      <c r="J65" s="178">
        <f t="shared" si="8"/>
        <v>263205.55555555556</v>
      </c>
      <c r="K65" s="178">
        <f t="shared" si="9"/>
        <v>0</v>
      </c>
      <c r="L65" s="178">
        <f t="shared" si="10"/>
        <v>0</v>
      </c>
      <c r="M65" s="178">
        <f t="shared" si="11"/>
        <v>0</v>
      </c>
      <c r="N65" s="178">
        <f t="shared" si="12"/>
        <v>0</v>
      </c>
      <c r="O65" s="178">
        <f t="shared" si="13"/>
        <v>0</v>
      </c>
      <c r="P65" s="178">
        <f t="shared" si="14"/>
        <v>0</v>
      </c>
      <c r="Q65" s="178">
        <f t="shared" si="15"/>
        <v>0</v>
      </c>
      <c r="R65" s="178">
        <f t="shared" si="16"/>
        <v>0</v>
      </c>
    </row>
    <row r="66" spans="2:25" x14ac:dyDescent="0.3">
      <c r="B66" s="178" t="str">
        <f t="shared" si="0"/>
        <v>Fans</v>
      </c>
      <c r="C66" s="178">
        <f t="shared" si="1"/>
        <v>35188.888888888891</v>
      </c>
      <c r="D66" s="178">
        <f t="shared" si="2"/>
        <v>1047260.5555555557</v>
      </c>
      <c r="E66" s="178">
        <f t="shared" si="3"/>
        <v>98050</v>
      </c>
      <c r="F66" s="178">
        <f t="shared" si="4"/>
        <v>17373.333333333336</v>
      </c>
      <c r="G66" s="178">
        <f t="shared" si="5"/>
        <v>60719.444444444438</v>
      </c>
      <c r="H66" s="178">
        <f t="shared" si="6"/>
        <v>29547.777777777781</v>
      </c>
      <c r="I66" s="178">
        <f t="shared" si="7"/>
        <v>218217.77777777778</v>
      </c>
      <c r="J66" s="178">
        <f t="shared" si="8"/>
        <v>349582.22222222225</v>
      </c>
      <c r="K66" s="178">
        <f t="shared" si="9"/>
        <v>457699.4444444445</v>
      </c>
      <c r="L66" s="178">
        <f t="shared" si="10"/>
        <v>67774.444444444438</v>
      </c>
      <c r="M66" s="178">
        <f t="shared" si="11"/>
        <v>104268.88888888889</v>
      </c>
      <c r="N66" s="178">
        <f t="shared" si="12"/>
        <v>18363.888888888891</v>
      </c>
      <c r="O66" s="178">
        <f t="shared" si="13"/>
        <v>138845</v>
      </c>
      <c r="P66" s="178">
        <f t="shared" si="14"/>
        <v>56261.156120000014</v>
      </c>
      <c r="Q66" s="178">
        <f t="shared" si="15"/>
        <v>279872.44612000004</v>
      </c>
      <c r="R66" s="178">
        <f t="shared" si="16"/>
        <v>85067.290276000014</v>
      </c>
    </row>
    <row r="67" spans="2:25" x14ac:dyDescent="0.3">
      <c r="B67" s="178" t="str">
        <f t="shared" si="0"/>
        <v>Pumps</v>
      </c>
      <c r="C67" s="178">
        <f t="shared" si="1"/>
        <v>0</v>
      </c>
      <c r="D67" s="178">
        <f t="shared" si="2"/>
        <v>515708.88888888888</v>
      </c>
      <c r="E67" s="178">
        <f t="shared" si="3"/>
        <v>75</v>
      </c>
      <c r="F67" s="178">
        <f t="shared" si="4"/>
        <v>0</v>
      </c>
      <c r="G67" s="178">
        <f t="shared" si="5"/>
        <v>475</v>
      </c>
      <c r="H67" s="178">
        <f t="shared" si="6"/>
        <v>0</v>
      </c>
      <c r="I67" s="178">
        <f t="shared" si="7"/>
        <v>323381.66666666669</v>
      </c>
      <c r="J67" s="178">
        <f t="shared" si="8"/>
        <v>30333.888888888891</v>
      </c>
      <c r="K67" s="178">
        <f t="shared" si="9"/>
        <v>13191.111111111109</v>
      </c>
      <c r="L67" s="178">
        <f t="shared" si="10"/>
        <v>10.555555555555555</v>
      </c>
      <c r="M67" s="178">
        <f t="shared" si="11"/>
        <v>0</v>
      </c>
      <c r="N67" s="178">
        <f t="shared" si="12"/>
        <v>0</v>
      </c>
      <c r="O67" s="178">
        <f t="shared" si="13"/>
        <v>0</v>
      </c>
      <c r="P67" s="178">
        <f t="shared" si="14"/>
        <v>0</v>
      </c>
      <c r="Q67" s="178">
        <f t="shared" si="15"/>
        <v>5878.338036000001</v>
      </c>
      <c r="R67" s="178">
        <f t="shared" si="16"/>
        <v>0</v>
      </c>
    </row>
    <row r="68" spans="2:25" x14ac:dyDescent="0.3">
      <c r="B68" s="178" t="str">
        <f t="shared" si="0"/>
        <v>Heat Rejection</v>
      </c>
      <c r="C68" s="178">
        <f t="shared" si="1"/>
        <v>0</v>
      </c>
      <c r="D68" s="178">
        <f t="shared" si="2"/>
        <v>357362.77777777775</v>
      </c>
      <c r="E68" s="178">
        <f t="shared" si="3"/>
        <v>0</v>
      </c>
      <c r="F68" s="178">
        <f t="shared" si="4"/>
        <v>0</v>
      </c>
      <c r="G68" s="178">
        <f t="shared" si="5"/>
        <v>0</v>
      </c>
      <c r="H68" s="178">
        <f t="shared" si="6"/>
        <v>0</v>
      </c>
      <c r="I68" s="178">
        <f t="shared" si="7"/>
        <v>253172.22222222225</v>
      </c>
      <c r="J68" s="178">
        <f t="shared" si="8"/>
        <v>0</v>
      </c>
      <c r="K68" s="178">
        <f t="shared" si="9"/>
        <v>0</v>
      </c>
      <c r="L68" s="178">
        <f t="shared" si="10"/>
        <v>0</v>
      </c>
      <c r="M68" s="178">
        <f t="shared" si="11"/>
        <v>0</v>
      </c>
      <c r="N68" s="178">
        <f t="shared" si="12"/>
        <v>0</v>
      </c>
      <c r="O68" s="178">
        <f t="shared" si="13"/>
        <v>0</v>
      </c>
      <c r="P68" s="178">
        <f t="shared" si="14"/>
        <v>0</v>
      </c>
      <c r="Q68" s="178">
        <f t="shared" si="15"/>
        <v>0</v>
      </c>
      <c r="R68" s="178">
        <f t="shared" si="16"/>
        <v>0</v>
      </c>
    </row>
    <row r="69" spans="2:25" x14ac:dyDescent="0.3">
      <c r="B69" s="178" t="str">
        <f t="shared" si="0"/>
        <v>Humidification</v>
      </c>
      <c r="C69" s="178">
        <f t="shared" si="1"/>
        <v>0</v>
      </c>
      <c r="D69" s="178">
        <f t="shared" si="2"/>
        <v>7181.666666666667</v>
      </c>
      <c r="E69" s="178">
        <f t="shared" si="3"/>
        <v>0</v>
      </c>
      <c r="F69" s="178">
        <f t="shared" si="4"/>
        <v>0</v>
      </c>
      <c r="G69" s="178">
        <f t="shared" si="5"/>
        <v>0</v>
      </c>
      <c r="H69" s="178">
        <f t="shared" si="6"/>
        <v>0</v>
      </c>
      <c r="I69" s="178">
        <f t="shared" si="7"/>
        <v>0</v>
      </c>
      <c r="J69" s="178">
        <f t="shared" si="8"/>
        <v>0</v>
      </c>
      <c r="K69" s="178">
        <f t="shared" si="9"/>
        <v>0</v>
      </c>
      <c r="L69" s="178">
        <f t="shared" si="10"/>
        <v>0</v>
      </c>
      <c r="M69" s="178">
        <f t="shared" si="11"/>
        <v>0</v>
      </c>
      <c r="N69" s="178">
        <f t="shared" si="12"/>
        <v>0</v>
      </c>
      <c r="O69" s="178">
        <f t="shared" si="13"/>
        <v>0</v>
      </c>
      <c r="P69" s="178">
        <f t="shared" si="14"/>
        <v>0</v>
      </c>
      <c r="Q69" s="178">
        <f t="shared" si="15"/>
        <v>1453.8900520000002</v>
      </c>
      <c r="R69" s="178">
        <f t="shared" si="16"/>
        <v>0</v>
      </c>
    </row>
    <row r="70" spans="2:25" x14ac:dyDescent="0.3">
      <c r="B70" s="178" t="str">
        <f t="shared" si="0"/>
        <v>Heat Recovery</v>
      </c>
      <c r="C70" s="178">
        <f t="shared" si="1"/>
        <v>0</v>
      </c>
      <c r="D70" s="178">
        <f t="shared" si="2"/>
        <v>0</v>
      </c>
      <c r="E70" s="178">
        <f t="shared" si="3"/>
        <v>0</v>
      </c>
      <c r="F70" s="178">
        <f t="shared" si="4"/>
        <v>0</v>
      </c>
      <c r="G70" s="178">
        <f t="shared" si="5"/>
        <v>0</v>
      </c>
      <c r="H70" s="178">
        <f t="shared" si="6"/>
        <v>0</v>
      </c>
      <c r="I70" s="178">
        <f t="shared" si="7"/>
        <v>0</v>
      </c>
      <c r="J70" s="178">
        <f t="shared" si="8"/>
        <v>0</v>
      </c>
      <c r="K70" s="178">
        <f t="shared" si="9"/>
        <v>0</v>
      </c>
      <c r="L70" s="178">
        <f t="shared" si="10"/>
        <v>0</v>
      </c>
      <c r="M70" s="178">
        <f t="shared" si="11"/>
        <v>0</v>
      </c>
      <c r="N70" s="178">
        <f t="shared" si="12"/>
        <v>0</v>
      </c>
      <c r="O70" s="178">
        <f t="shared" si="13"/>
        <v>0</v>
      </c>
      <c r="P70" s="178">
        <f t="shared" si="14"/>
        <v>0</v>
      </c>
      <c r="Q70" s="178">
        <f t="shared" si="15"/>
        <v>0</v>
      </c>
      <c r="R70" s="178">
        <f t="shared" si="16"/>
        <v>0</v>
      </c>
    </row>
    <row r="71" spans="2:25" x14ac:dyDescent="0.3">
      <c r="B71" s="178" t="str">
        <f t="shared" si="0"/>
        <v>Water Systems</v>
      </c>
      <c r="C71" s="178">
        <f t="shared" si="1"/>
        <v>0</v>
      </c>
      <c r="D71" s="178">
        <f t="shared" si="2"/>
        <v>0</v>
      </c>
      <c r="E71" s="178">
        <f t="shared" si="3"/>
        <v>0</v>
      </c>
      <c r="F71" s="178">
        <f t="shared" si="4"/>
        <v>0</v>
      </c>
      <c r="G71" s="178">
        <f t="shared" si="5"/>
        <v>0</v>
      </c>
      <c r="H71" s="178">
        <f t="shared" si="6"/>
        <v>0</v>
      </c>
      <c r="I71" s="178">
        <f t="shared" si="7"/>
        <v>0</v>
      </c>
      <c r="J71" s="178">
        <f t="shared" si="8"/>
        <v>0</v>
      </c>
      <c r="K71" s="178">
        <f t="shared" si="9"/>
        <v>0</v>
      </c>
      <c r="L71" s="178">
        <f t="shared" si="10"/>
        <v>0</v>
      </c>
      <c r="M71" s="178">
        <f t="shared" si="11"/>
        <v>0</v>
      </c>
      <c r="N71" s="178">
        <f t="shared" si="12"/>
        <v>0</v>
      </c>
      <c r="O71" s="178">
        <f t="shared" si="13"/>
        <v>0</v>
      </c>
      <c r="P71" s="178">
        <f t="shared" si="14"/>
        <v>0</v>
      </c>
      <c r="Q71" s="178">
        <f t="shared" si="15"/>
        <v>0</v>
      </c>
      <c r="R71" s="178">
        <f t="shared" si="16"/>
        <v>0</v>
      </c>
    </row>
    <row r="72" spans="2:25" x14ac:dyDescent="0.3">
      <c r="B72" s="178" t="str">
        <f t="shared" si="0"/>
        <v>Refrigeration</v>
      </c>
      <c r="C72" s="178">
        <f t="shared" si="1"/>
        <v>0</v>
      </c>
      <c r="D72" s="178">
        <f t="shared" si="2"/>
        <v>56966.111111111109</v>
      </c>
      <c r="E72" s="178">
        <f t="shared" si="3"/>
        <v>0</v>
      </c>
      <c r="F72" s="178">
        <f t="shared" si="4"/>
        <v>0</v>
      </c>
      <c r="G72" s="178">
        <f t="shared" si="5"/>
        <v>0</v>
      </c>
      <c r="H72" s="178">
        <f t="shared" si="6"/>
        <v>0</v>
      </c>
      <c r="I72" s="178">
        <f t="shared" si="7"/>
        <v>0</v>
      </c>
      <c r="J72" s="178">
        <f t="shared" si="8"/>
        <v>21988.333333333336</v>
      </c>
      <c r="K72" s="178">
        <f t="shared" si="9"/>
        <v>43740.000000000007</v>
      </c>
      <c r="L72" s="178">
        <f t="shared" si="10"/>
        <v>21819.444444444445</v>
      </c>
      <c r="M72" s="178">
        <f t="shared" si="11"/>
        <v>0</v>
      </c>
      <c r="N72" s="178">
        <f t="shared" si="12"/>
        <v>19147.777777777777</v>
      </c>
      <c r="O72" s="178">
        <f t="shared" si="13"/>
        <v>1252802.7777777778</v>
      </c>
      <c r="P72" s="178">
        <f t="shared" si="14"/>
        <v>18745.014996000005</v>
      </c>
      <c r="Q72" s="178">
        <f t="shared" si="15"/>
        <v>0</v>
      </c>
      <c r="R72" s="178">
        <f t="shared" si="16"/>
        <v>0</v>
      </c>
    </row>
    <row r="73" spans="2:25" x14ac:dyDescent="0.3">
      <c r="B73" s="178" t="str">
        <f t="shared" si="0"/>
        <v>Generators</v>
      </c>
      <c r="C73" s="178">
        <f t="shared" si="1"/>
        <v>0</v>
      </c>
      <c r="D73" s="178">
        <f t="shared" si="2"/>
        <v>0</v>
      </c>
      <c r="E73" s="178">
        <f t="shared" si="3"/>
        <v>0</v>
      </c>
      <c r="F73" s="178">
        <f t="shared" si="4"/>
        <v>0</v>
      </c>
      <c r="G73" s="178">
        <f t="shared" si="5"/>
        <v>0</v>
      </c>
      <c r="H73" s="178">
        <f t="shared" si="6"/>
        <v>0</v>
      </c>
      <c r="I73" s="178">
        <f t="shared" si="7"/>
        <v>0</v>
      </c>
      <c r="J73" s="178">
        <f t="shared" si="8"/>
        <v>0</v>
      </c>
      <c r="K73" s="178">
        <f t="shared" si="9"/>
        <v>0</v>
      </c>
      <c r="L73" s="178">
        <f t="shared" si="10"/>
        <v>0</v>
      </c>
      <c r="M73" s="178">
        <f t="shared" si="11"/>
        <v>0</v>
      </c>
      <c r="N73" s="178">
        <f t="shared" si="12"/>
        <v>0</v>
      </c>
      <c r="O73" s="178">
        <f t="shared" si="13"/>
        <v>0</v>
      </c>
      <c r="P73" s="178">
        <f t="shared" si="14"/>
        <v>0</v>
      </c>
      <c r="Q73" s="178">
        <f t="shared" si="15"/>
        <v>0</v>
      </c>
      <c r="R73" s="178">
        <f t="shared" si="16"/>
        <v>0</v>
      </c>
    </row>
    <row r="76" spans="2:25" x14ac:dyDescent="0.3">
      <c r="B76" s="201" t="s">
        <v>667</v>
      </c>
      <c r="C76" s="178" t="s">
        <v>666</v>
      </c>
      <c r="D76" s="178" t="s">
        <v>538</v>
      </c>
      <c r="E76" s="178" t="s">
        <v>665</v>
      </c>
      <c r="F76" s="178" t="s">
        <v>664</v>
      </c>
      <c r="G76" s="178" t="s">
        <v>663</v>
      </c>
      <c r="H76" s="178" t="s">
        <v>654</v>
      </c>
      <c r="I76" s="178" t="s">
        <v>540</v>
      </c>
      <c r="J76" s="178" t="s">
        <v>662</v>
      </c>
      <c r="K76" s="178" t="s">
        <v>8</v>
      </c>
      <c r="L76" s="178" t="s">
        <v>510</v>
      </c>
      <c r="M76" s="178" t="s">
        <v>525</v>
      </c>
      <c r="Q76" s="178" t="s">
        <v>661</v>
      </c>
    </row>
    <row r="77" spans="2:25" x14ac:dyDescent="0.3">
      <c r="B77" s="178" t="str">
        <f t="shared" ref="B77:B91" si="17">B59</f>
        <v>Electricity (kWh)</v>
      </c>
      <c r="C77" s="195">
        <f t="shared" ref="C77:C91" si="18">D60</f>
        <v>0</v>
      </c>
      <c r="D77" s="195">
        <f t="shared" ref="D77:D91" si="19">0.26*L60+0.74*K60</f>
        <v>0</v>
      </c>
      <c r="E77" s="195">
        <f t="shared" ref="E77:E91" si="20">O60</f>
        <v>0</v>
      </c>
      <c r="F77" s="195">
        <f t="shared" ref="F77:F91" si="21">0.31*N60+0.69*P60</f>
        <v>0</v>
      </c>
      <c r="G77" s="178">
        <f t="shared" ref="G77:G91" si="22">0.5*D60+0.5*Q60</f>
        <v>4981.6706520000007</v>
      </c>
      <c r="H77" s="195">
        <f t="shared" ref="H77:H91" si="23">0.9*I60+0.1*E60</f>
        <v>716.38888888888903</v>
      </c>
      <c r="I77" s="195">
        <f t="shared" ref="I77:I91" si="24">0.26*G60+0.74*J60</f>
        <v>139.8111111111111</v>
      </c>
      <c r="J77" s="195">
        <f t="shared" ref="J77:J91" si="25">0.53*M60+0.47*R60</f>
        <v>12.661111111111111</v>
      </c>
      <c r="K77" s="178">
        <f t="shared" ref="K77:K90" si="26">AVERAGE(C60:R60)</f>
        <v>1086.7713315000001</v>
      </c>
      <c r="L77" s="195">
        <f t="shared" ref="L77:L91" si="27">0.12*F60+0.88*Q60</f>
        <v>8767.7403475200008</v>
      </c>
      <c r="M77" s="195">
        <f t="shared" ref="M77:M91" si="28">C60</f>
        <v>0</v>
      </c>
      <c r="Q77" s="178" t="s">
        <v>627</v>
      </c>
      <c r="R77" s="178" t="s">
        <v>626</v>
      </c>
      <c r="Y77" s="178" t="s">
        <v>660</v>
      </c>
    </row>
    <row r="78" spans="2:25" x14ac:dyDescent="0.3">
      <c r="B78" s="178" t="str">
        <f t="shared" si="17"/>
        <v>Heating</v>
      </c>
      <c r="C78" s="195">
        <f t="shared" si="18"/>
        <v>5887782.222222222</v>
      </c>
      <c r="D78" s="195">
        <f t="shared" si="19"/>
        <v>2395316.8000000003</v>
      </c>
      <c r="E78" s="195">
        <f t="shared" si="20"/>
        <v>148116.11111111112</v>
      </c>
      <c r="F78" s="195">
        <f t="shared" si="21"/>
        <v>81461.211039528906</v>
      </c>
      <c r="G78" s="178">
        <f t="shared" si="22"/>
        <v>3318536.1330491109</v>
      </c>
      <c r="H78" s="195">
        <f t="shared" si="23"/>
        <v>2966490.277777778</v>
      </c>
      <c r="I78" s="195">
        <f t="shared" si="24"/>
        <v>3586175.1777777779</v>
      </c>
      <c r="J78" s="195">
        <f t="shared" si="25"/>
        <v>163843.20599167555</v>
      </c>
      <c r="K78" s="178">
        <f t="shared" si="26"/>
        <v>1224736.9603968894</v>
      </c>
      <c r="L78" s="195">
        <f t="shared" si="27"/>
        <v>662848.17194421345</v>
      </c>
      <c r="M78" s="195">
        <f t="shared" si="28"/>
        <v>37036.666666666672</v>
      </c>
      <c r="Q78" s="178" t="s">
        <v>625</v>
      </c>
      <c r="R78" s="179" t="s">
        <v>624</v>
      </c>
      <c r="Y78" s="178" t="s">
        <v>533</v>
      </c>
    </row>
    <row r="79" spans="2:25" x14ac:dyDescent="0.3">
      <c r="B79" s="178" t="str">
        <f t="shared" si="17"/>
        <v>Cooling</v>
      </c>
      <c r="C79" s="195">
        <f t="shared" si="18"/>
        <v>2092486.6666666665</v>
      </c>
      <c r="D79" s="195">
        <f t="shared" si="19"/>
        <v>937436.7888888889</v>
      </c>
      <c r="E79" s="195">
        <f t="shared" si="20"/>
        <v>388020.00000000006</v>
      </c>
      <c r="F79" s="195">
        <f t="shared" si="21"/>
        <v>64116.015046075554</v>
      </c>
      <c r="G79" s="178">
        <f t="shared" si="22"/>
        <v>1150273.6943353333</v>
      </c>
      <c r="H79" s="195">
        <f t="shared" si="23"/>
        <v>1997229.611111111</v>
      </c>
      <c r="I79" s="195">
        <f t="shared" si="24"/>
        <v>497471.7111111111</v>
      </c>
      <c r="J79" s="195">
        <f t="shared" si="25"/>
        <v>251558.35907603113</v>
      </c>
      <c r="K79" s="178">
        <f t="shared" si="26"/>
        <v>521460.54814258328</v>
      </c>
      <c r="L79" s="195">
        <f t="shared" si="27"/>
        <v>186208.43536352002</v>
      </c>
      <c r="M79" s="195">
        <f t="shared" si="28"/>
        <v>101129.44444444445</v>
      </c>
      <c r="R79" s="179" t="s">
        <v>623</v>
      </c>
      <c r="Y79" s="178" t="s">
        <v>659</v>
      </c>
    </row>
    <row r="80" spans="2:25" x14ac:dyDescent="0.3">
      <c r="B80" s="178" t="str">
        <f t="shared" si="17"/>
        <v>Interior Lighting</v>
      </c>
      <c r="C80" s="195">
        <f t="shared" si="18"/>
        <v>86335</v>
      </c>
      <c r="D80" s="195">
        <f t="shared" si="19"/>
        <v>79711.17777777779</v>
      </c>
      <c r="E80" s="195">
        <f t="shared" si="20"/>
        <v>69246.666666666672</v>
      </c>
      <c r="F80" s="195">
        <f t="shared" si="21"/>
        <v>18717.506299564448</v>
      </c>
      <c r="G80" s="178">
        <f t="shared" si="22"/>
        <v>78965.028638000003</v>
      </c>
      <c r="H80" s="195">
        <f t="shared" si="23"/>
        <v>241699.72222222225</v>
      </c>
      <c r="I80" s="195">
        <f t="shared" si="24"/>
        <v>99756.666666666686</v>
      </c>
      <c r="J80" s="195">
        <f t="shared" si="25"/>
        <v>49257.793745297779</v>
      </c>
      <c r="K80" s="178">
        <f t="shared" si="26"/>
        <v>68406.257515694451</v>
      </c>
      <c r="L80" s="195">
        <f t="shared" si="27"/>
        <v>64405.783736213336</v>
      </c>
      <c r="M80" s="195">
        <f t="shared" si="28"/>
        <v>46118.333333333328</v>
      </c>
      <c r="Q80" s="178" t="s">
        <v>622</v>
      </c>
      <c r="R80" s="178" t="s">
        <v>536</v>
      </c>
      <c r="Y80" s="178" t="s">
        <v>536</v>
      </c>
    </row>
    <row r="81" spans="1:25" x14ac:dyDescent="0.3">
      <c r="B81" s="178" t="str">
        <f t="shared" si="17"/>
        <v>Exterior Lighting</v>
      </c>
      <c r="C81" s="195">
        <f t="shared" si="18"/>
        <v>1817169.4444444447</v>
      </c>
      <c r="D81" s="195">
        <f t="shared" si="19"/>
        <v>557068.5</v>
      </c>
      <c r="E81" s="195">
        <f t="shared" si="20"/>
        <v>218247.22222222222</v>
      </c>
      <c r="F81" s="195">
        <f t="shared" si="21"/>
        <v>150068.45296544442</v>
      </c>
      <c r="G81" s="178">
        <f t="shared" si="22"/>
        <v>1158473.8110222225</v>
      </c>
      <c r="H81" s="195">
        <f t="shared" si="23"/>
        <v>2125620.5555555564</v>
      </c>
      <c r="I81" s="195">
        <f t="shared" si="24"/>
        <v>459941.77777777775</v>
      </c>
      <c r="J81" s="195">
        <f t="shared" si="25"/>
        <v>48763.821151199998</v>
      </c>
      <c r="K81" s="178">
        <f t="shared" si="26"/>
        <v>466085.79927180562</v>
      </c>
      <c r="L81" s="195">
        <f t="shared" si="27"/>
        <v>442729.12962133338</v>
      </c>
      <c r="M81" s="195">
        <f t="shared" si="28"/>
        <v>29005.555555555555</v>
      </c>
      <c r="Q81" s="178" t="s">
        <v>621</v>
      </c>
      <c r="R81" s="179" t="s">
        <v>620</v>
      </c>
      <c r="Y81" s="178" t="s">
        <v>658</v>
      </c>
    </row>
    <row r="82" spans="1:25" x14ac:dyDescent="0.3">
      <c r="B82" s="178" t="str">
        <f t="shared" si="17"/>
        <v>Interior Equipment</v>
      </c>
      <c r="C82" s="195">
        <f t="shared" si="18"/>
        <v>694291.66666666674</v>
      </c>
      <c r="D82" s="195">
        <f t="shared" si="19"/>
        <v>0</v>
      </c>
      <c r="E82" s="195">
        <f t="shared" si="20"/>
        <v>0</v>
      </c>
      <c r="F82" s="195">
        <f t="shared" si="21"/>
        <v>0</v>
      </c>
      <c r="G82" s="178">
        <f t="shared" si="22"/>
        <v>347145.83333333337</v>
      </c>
      <c r="H82" s="195">
        <f t="shared" si="23"/>
        <v>473770</v>
      </c>
      <c r="I82" s="195">
        <f t="shared" si="24"/>
        <v>194772.11111111112</v>
      </c>
      <c r="J82" s="195">
        <f t="shared" si="25"/>
        <v>0</v>
      </c>
      <c r="K82" s="178">
        <f t="shared" si="26"/>
        <v>92744.270833333343</v>
      </c>
      <c r="L82" s="195">
        <f t="shared" si="27"/>
        <v>0</v>
      </c>
      <c r="M82" s="195">
        <f t="shared" si="28"/>
        <v>0</v>
      </c>
      <c r="R82" s="179" t="s">
        <v>619</v>
      </c>
      <c r="Y82" s="178" t="s">
        <v>657</v>
      </c>
    </row>
    <row r="83" spans="1:25" x14ac:dyDescent="0.3">
      <c r="B83" s="178" t="str">
        <f t="shared" si="17"/>
        <v>Exterior Equipment</v>
      </c>
      <c r="C83" s="195">
        <f t="shared" si="18"/>
        <v>1047260.5555555557</v>
      </c>
      <c r="D83" s="195">
        <f t="shared" si="19"/>
        <v>356318.9444444445</v>
      </c>
      <c r="E83" s="195">
        <f t="shared" si="20"/>
        <v>138845</v>
      </c>
      <c r="F83" s="195">
        <f t="shared" si="21"/>
        <v>44513.003278355558</v>
      </c>
      <c r="G83" s="178">
        <f t="shared" si="22"/>
        <v>663566.50083777786</v>
      </c>
      <c r="H83" s="195">
        <f t="shared" si="23"/>
        <v>206201</v>
      </c>
      <c r="I83" s="195">
        <f t="shared" si="24"/>
        <v>274477.90000000002</v>
      </c>
      <c r="J83" s="195">
        <f t="shared" si="25"/>
        <v>95244.137540831114</v>
      </c>
      <c r="K83" s="178">
        <f t="shared" si="26"/>
        <v>191505.7849489167</v>
      </c>
      <c r="L83" s="195">
        <f t="shared" si="27"/>
        <v>248372.55258560003</v>
      </c>
      <c r="M83" s="195">
        <f t="shared" si="28"/>
        <v>35188.888888888891</v>
      </c>
      <c r="Q83" s="179" t="s">
        <v>618</v>
      </c>
      <c r="T83" s="178" t="s">
        <v>656</v>
      </c>
      <c r="Y83" s="178" t="s">
        <v>539</v>
      </c>
    </row>
    <row r="84" spans="1:25" x14ac:dyDescent="0.3">
      <c r="B84" s="178" t="str">
        <f t="shared" si="17"/>
        <v>Fans</v>
      </c>
      <c r="C84" s="195">
        <f t="shared" si="18"/>
        <v>515708.88888888888</v>
      </c>
      <c r="D84" s="195">
        <f t="shared" si="19"/>
        <v>9764.1666666666661</v>
      </c>
      <c r="E84" s="195">
        <f t="shared" si="20"/>
        <v>0</v>
      </c>
      <c r="F84" s="195">
        <f t="shared" si="21"/>
        <v>0</v>
      </c>
      <c r="G84" s="178">
        <f t="shared" si="22"/>
        <v>260793.61346244445</v>
      </c>
      <c r="H84" s="195">
        <f t="shared" si="23"/>
        <v>291051</v>
      </c>
      <c r="I84" s="195">
        <f t="shared" si="24"/>
        <v>22570.57777777778</v>
      </c>
      <c r="J84" s="195">
        <f t="shared" si="25"/>
        <v>0</v>
      </c>
      <c r="K84" s="178">
        <f t="shared" si="26"/>
        <v>55565.90307169444</v>
      </c>
      <c r="L84" s="195">
        <f t="shared" si="27"/>
        <v>5172.9374716800012</v>
      </c>
      <c r="M84" s="195">
        <f t="shared" si="28"/>
        <v>0</v>
      </c>
      <c r="Q84" s="178" t="s">
        <v>617</v>
      </c>
      <c r="R84" s="179" t="s">
        <v>616</v>
      </c>
      <c r="Y84" s="178" t="s">
        <v>530</v>
      </c>
    </row>
    <row r="85" spans="1:25" x14ac:dyDescent="0.3">
      <c r="B85" s="178" t="str">
        <f t="shared" si="17"/>
        <v>Pumps</v>
      </c>
      <c r="C85" s="195">
        <f t="shared" si="18"/>
        <v>357362.77777777775</v>
      </c>
      <c r="D85" s="195">
        <f t="shared" si="19"/>
        <v>0</v>
      </c>
      <c r="E85" s="195">
        <f t="shared" si="20"/>
        <v>0</v>
      </c>
      <c r="F85" s="195">
        <f t="shared" si="21"/>
        <v>0</v>
      </c>
      <c r="G85" s="178">
        <f t="shared" si="22"/>
        <v>178681.38888888888</v>
      </c>
      <c r="H85" s="195">
        <f t="shared" si="23"/>
        <v>227855.00000000003</v>
      </c>
      <c r="I85" s="195">
        <f t="shared" si="24"/>
        <v>0</v>
      </c>
      <c r="J85" s="195">
        <f t="shared" si="25"/>
        <v>0</v>
      </c>
      <c r="K85" s="178">
        <f t="shared" si="26"/>
        <v>38158.4375</v>
      </c>
      <c r="L85" s="195">
        <f t="shared" si="27"/>
        <v>0</v>
      </c>
      <c r="M85" s="195">
        <f t="shared" si="28"/>
        <v>0</v>
      </c>
      <c r="R85" s="179" t="s">
        <v>615</v>
      </c>
      <c r="Y85" s="178" t="s">
        <v>655</v>
      </c>
    </row>
    <row r="86" spans="1:25" x14ac:dyDescent="0.3">
      <c r="B86" s="178" t="str">
        <f t="shared" si="17"/>
        <v>Heat Rejection</v>
      </c>
      <c r="C86" s="195">
        <f t="shared" si="18"/>
        <v>7181.666666666667</v>
      </c>
      <c r="D86" s="195">
        <f t="shared" si="19"/>
        <v>0</v>
      </c>
      <c r="E86" s="195">
        <f t="shared" si="20"/>
        <v>0</v>
      </c>
      <c r="F86" s="195">
        <f t="shared" si="21"/>
        <v>0</v>
      </c>
      <c r="G86" s="178">
        <f t="shared" si="22"/>
        <v>4317.7783593333334</v>
      </c>
      <c r="H86" s="195">
        <f t="shared" si="23"/>
        <v>0</v>
      </c>
      <c r="I86" s="195">
        <f t="shared" si="24"/>
        <v>0</v>
      </c>
      <c r="J86" s="195">
        <f t="shared" si="25"/>
        <v>0</v>
      </c>
      <c r="K86" s="178">
        <f t="shared" si="26"/>
        <v>539.72229491666667</v>
      </c>
      <c r="L86" s="195">
        <f t="shared" si="27"/>
        <v>1279.4232457600001</v>
      </c>
      <c r="M86" s="195">
        <f t="shared" si="28"/>
        <v>0</v>
      </c>
      <c r="Q86" s="178" t="s">
        <v>614</v>
      </c>
      <c r="R86" s="179" t="s">
        <v>613</v>
      </c>
      <c r="Y86" s="178" t="s">
        <v>654</v>
      </c>
    </row>
    <row r="87" spans="1:25" x14ac:dyDescent="0.3">
      <c r="B87" s="178" t="str">
        <f t="shared" si="17"/>
        <v>Humidification</v>
      </c>
      <c r="C87" s="195">
        <f t="shared" si="18"/>
        <v>0</v>
      </c>
      <c r="D87" s="195">
        <f t="shared" si="19"/>
        <v>0</v>
      </c>
      <c r="E87" s="195">
        <f t="shared" si="20"/>
        <v>0</v>
      </c>
      <c r="F87" s="195">
        <f t="shared" si="21"/>
        <v>0</v>
      </c>
      <c r="G87" s="178">
        <f t="shared" si="22"/>
        <v>0</v>
      </c>
      <c r="H87" s="195">
        <f t="shared" si="23"/>
        <v>0</v>
      </c>
      <c r="I87" s="195">
        <f t="shared" si="24"/>
        <v>0</v>
      </c>
      <c r="J87" s="195">
        <f t="shared" si="25"/>
        <v>0</v>
      </c>
      <c r="K87" s="178">
        <f t="shared" si="26"/>
        <v>0</v>
      </c>
      <c r="L87" s="195">
        <f t="shared" si="27"/>
        <v>0</v>
      </c>
      <c r="M87" s="195">
        <f t="shared" si="28"/>
        <v>0</v>
      </c>
      <c r="R87" s="179" t="s">
        <v>612</v>
      </c>
      <c r="Y87" s="178" t="s">
        <v>528</v>
      </c>
    </row>
    <row r="88" spans="1:25" x14ac:dyDescent="0.3">
      <c r="B88" s="178" t="str">
        <f t="shared" si="17"/>
        <v>Heat Recovery</v>
      </c>
      <c r="C88" s="195">
        <f t="shared" si="18"/>
        <v>0</v>
      </c>
      <c r="D88" s="195">
        <f t="shared" si="19"/>
        <v>0</v>
      </c>
      <c r="E88" s="195">
        <f t="shared" si="20"/>
        <v>0</v>
      </c>
      <c r="F88" s="195">
        <f t="shared" si="21"/>
        <v>0</v>
      </c>
      <c r="G88" s="178">
        <f t="shared" si="22"/>
        <v>0</v>
      </c>
      <c r="H88" s="195">
        <f t="shared" si="23"/>
        <v>0</v>
      </c>
      <c r="I88" s="195">
        <f t="shared" si="24"/>
        <v>0</v>
      </c>
      <c r="J88" s="195">
        <f t="shared" si="25"/>
        <v>0</v>
      </c>
      <c r="K88" s="178">
        <f t="shared" si="26"/>
        <v>0</v>
      </c>
      <c r="L88" s="195">
        <f t="shared" si="27"/>
        <v>0</v>
      </c>
      <c r="M88" s="195">
        <f t="shared" si="28"/>
        <v>0</v>
      </c>
      <c r="Q88" s="178" t="s">
        <v>611</v>
      </c>
      <c r="R88" s="179" t="s">
        <v>610</v>
      </c>
      <c r="Y88" s="178" t="s">
        <v>510</v>
      </c>
    </row>
    <row r="89" spans="1:25" x14ac:dyDescent="0.3">
      <c r="B89" s="178" t="str">
        <f t="shared" si="17"/>
        <v>Water Systems</v>
      </c>
      <c r="C89" s="195">
        <f t="shared" si="18"/>
        <v>56966.111111111109</v>
      </c>
      <c r="D89" s="195">
        <f t="shared" si="19"/>
        <v>38040.655555555561</v>
      </c>
      <c r="E89" s="195">
        <f t="shared" si="20"/>
        <v>1252802.7777777778</v>
      </c>
      <c r="F89" s="195">
        <f t="shared" si="21"/>
        <v>18869.871458351114</v>
      </c>
      <c r="G89" s="178">
        <f t="shared" si="22"/>
        <v>28483.055555555555</v>
      </c>
      <c r="H89" s="195">
        <f t="shared" si="23"/>
        <v>0</v>
      </c>
      <c r="I89" s="195">
        <f t="shared" si="24"/>
        <v>16271.366666666669</v>
      </c>
      <c r="J89" s="195">
        <f t="shared" si="25"/>
        <v>0</v>
      </c>
      <c r="K89" s="178">
        <f t="shared" si="26"/>
        <v>89700.591215027787</v>
      </c>
      <c r="L89" s="195">
        <f t="shared" si="27"/>
        <v>0</v>
      </c>
      <c r="M89" s="195">
        <f t="shared" si="28"/>
        <v>0</v>
      </c>
      <c r="R89" s="179" t="s">
        <v>609</v>
      </c>
    </row>
    <row r="90" spans="1:25" x14ac:dyDescent="0.3">
      <c r="B90" s="178" t="str">
        <f t="shared" si="17"/>
        <v>Refrigeration</v>
      </c>
      <c r="C90" s="195">
        <f t="shared" si="18"/>
        <v>0</v>
      </c>
      <c r="D90" s="195">
        <f t="shared" si="19"/>
        <v>0</v>
      </c>
      <c r="E90" s="195">
        <f t="shared" si="20"/>
        <v>0</v>
      </c>
      <c r="F90" s="195">
        <f t="shared" si="21"/>
        <v>0</v>
      </c>
      <c r="G90" s="178">
        <f t="shared" si="22"/>
        <v>0</v>
      </c>
      <c r="H90" s="195">
        <f t="shared" si="23"/>
        <v>0</v>
      </c>
      <c r="I90" s="195">
        <f t="shared" si="24"/>
        <v>0</v>
      </c>
      <c r="J90" s="195">
        <f t="shared" si="25"/>
        <v>0</v>
      </c>
      <c r="K90" s="178">
        <f t="shared" si="26"/>
        <v>0</v>
      </c>
      <c r="L90" s="195">
        <f t="shared" si="27"/>
        <v>0</v>
      </c>
      <c r="M90" s="195">
        <f t="shared" si="28"/>
        <v>0</v>
      </c>
      <c r="Q90" s="178" t="s">
        <v>608</v>
      </c>
      <c r="R90" s="179" t="s">
        <v>607</v>
      </c>
    </row>
    <row r="91" spans="1:25" x14ac:dyDescent="0.3">
      <c r="B91" s="178" t="str">
        <f t="shared" si="17"/>
        <v>Generators</v>
      </c>
      <c r="C91" s="195">
        <f t="shared" si="18"/>
        <v>0</v>
      </c>
      <c r="D91" s="195">
        <f t="shared" si="19"/>
        <v>0</v>
      </c>
      <c r="E91" s="195">
        <f t="shared" si="20"/>
        <v>0</v>
      </c>
      <c r="F91" s="195">
        <f t="shared" si="21"/>
        <v>0</v>
      </c>
      <c r="G91" s="178">
        <f t="shared" si="22"/>
        <v>0</v>
      </c>
      <c r="H91" s="195">
        <f t="shared" si="23"/>
        <v>0</v>
      </c>
      <c r="I91" s="195">
        <f t="shared" si="24"/>
        <v>0</v>
      </c>
      <c r="J91" s="195">
        <f t="shared" si="25"/>
        <v>0</v>
      </c>
      <c r="K91" s="178">
        <v>0</v>
      </c>
      <c r="L91" s="195">
        <f t="shared" si="27"/>
        <v>0</v>
      </c>
      <c r="M91" s="195">
        <f t="shared" si="28"/>
        <v>0</v>
      </c>
      <c r="R91" s="179" t="s">
        <v>606</v>
      </c>
    </row>
    <row r="92" spans="1:25" x14ac:dyDescent="0.3">
      <c r="N92" s="178" t="s">
        <v>653</v>
      </c>
      <c r="O92" s="178" t="s">
        <v>652</v>
      </c>
      <c r="Q92" s="178" t="s">
        <v>605</v>
      </c>
      <c r="R92" s="179" t="s">
        <v>604</v>
      </c>
    </row>
    <row r="93" spans="1:25" x14ac:dyDescent="0.3">
      <c r="B93" s="178" t="s">
        <v>651</v>
      </c>
      <c r="C93" s="196">
        <v>0.10549273010705121</v>
      </c>
      <c r="D93" s="196">
        <v>0.16032078889752713</v>
      </c>
      <c r="E93" s="196">
        <v>1.1528528025195831E-2</v>
      </c>
      <c r="F93" s="196">
        <v>2.0683247712744126E-2</v>
      </c>
      <c r="G93" s="196">
        <v>2.6447589526834337E-2</v>
      </c>
      <c r="H93" s="196">
        <v>7.415015111297843E-2</v>
      </c>
      <c r="I93" s="196">
        <v>6.4152648451331173E-2</v>
      </c>
      <c r="J93" s="196">
        <v>0.17775634744778759</v>
      </c>
      <c r="K93" s="196">
        <v>0.10015327756252744</v>
      </c>
      <c r="L93" s="196">
        <v>9.5755816267965033E-2</v>
      </c>
      <c r="M93" s="196">
        <v>0.16355887488805776</v>
      </c>
      <c r="N93" s="197">
        <f t="shared" ref="N93:N107" si="29">SUM(C93:M93)</f>
        <v>1</v>
      </c>
      <c r="O93" s="197">
        <f>N93/$N$93</f>
        <v>1</v>
      </c>
      <c r="Q93" s="179" t="s">
        <v>603</v>
      </c>
      <c r="T93" s="178" t="s">
        <v>650</v>
      </c>
    </row>
    <row r="94" spans="1:25" x14ac:dyDescent="0.3">
      <c r="A94" s="197">
        <f t="shared" ref="A94:A107" si="30">O94</f>
        <v>3.0178248066390381E-4</v>
      </c>
      <c r="B94" s="178" t="str">
        <f t="shared" ref="B94:B107" si="31">B78</f>
        <v>Heating</v>
      </c>
      <c r="C94" s="178">
        <f t="shared" ref="C94:M94" si="32">C77*C$93</f>
        <v>0</v>
      </c>
      <c r="D94" s="178">
        <f t="shared" si="32"/>
        <v>0</v>
      </c>
      <c r="E94" s="178">
        <f t="shared" si="32"/>
        <v>0</v>
      </c>
      <c r="F94" s="178">
        <f t="shared" si="32"/>
        <v>0</v>
      </c>
      <c r="G94" s="178">
        <f t="shared" si="32"/>
        <v>131.75318056197321</v>
      </c>
      <c r="H94" s="178">
        <f t="shared" si="32"/>
        <v>53.120344366769835</v>
      </c>
      <c r="I94" s="178">
        <f t="shared" si="32"/>
        <v>8.9692530607011118</v>
      </c>
      <c r="J94" s="178">
        <f t="shared" si="32"/>
        <v>2.2505928657417109</v>
      </c>
      <c r="K94" s="178">
        <f t="shared" si="32"/>
        <v>108.84371081071703</v>
      </c>
      <c r="L94" s="178">
        <f t="shared" si="32"/>
        <v>839.56213380234908</v>
      </c>
      <c r="M94" s="178">
        <f t="shared" si="32"/>
        <v>0</v>
      </c>
      <c r="N94" s="200">
        <f t="shared" si="29"/>
        <v>1144.499215468252</v>
      </c>
      <c r="O94" s="197">
        <f t="shared" ref="O94:O108" si="33">N94/$N$108</f>
        <v>3.0178248066390381E-4</v>
      </c>
      <c r="Q94" s="179" t="s">
        <v>602</v>
      </c>
    </row>
    <row r="95" spans="1:25" x14ac:dyDescent="0.3">
      <c r="A95" s="197">
        <f t="shared" si="30"/>
        <v>0.4660927994912768</v>
      </c>
      <c r="B95" s="178" t="str">
        <f t="shared" si="31"/>
        <v>Cooling</v>
      </c>
      <c r="C95" s="178">
        <f t="shared" ref="C95:M95" si="34">C78*C$93</f>
        <v>621118.22089798306</v>
      </c>
      <c r="D95" s="178">
        <f t="shared" si="34"/>
        <v>384019.07903550024</v>
      </c>
      <c r="E95" s="178">
        <f t="shared" si="34"/>
        <v>1707.5607379274643</v>
      </c>
      <c r="F95" s="178">
        <f t="shared" si="34"/>
        <v>1684.8824069107027</v>
      </c>
      <c r="G95" s="178">
        <f t="shared" si="34"/>
        <v>87767.281476850985</v>
      </c>
      <c r="H95" s="178">
        <f t="shared" si="34"/>
        <v>219965.70237240358</v>
      </c>
      <c r="I95" s="178">
        <f t="shared" si="34"/>
        <v>230062.63546486787</v>
      </c>
      <c r="J95" s="178">
        <f t="shared" si="34"/>
        <v>29124.169851215713</v>
      </c>
      <c r="K95" s="178">
        <f t="shared" si="34"/>
        <v>122661.42073571584</v>
      </c>
      <c r="L95" s="178">
        <f t="shared" si="34"/>
        <v>63471.567766246597</v>
      </c>
      <c r="M95" s="178">
        <f t="shared" si="34"/>
        <v>6057.6755296040337</v>
      </c>
      <c r="N95" s="200">
        <f t="shared" si="29"/>
        <v>1767640.1962752263</v>
      </c>
      <c r="O95" s="197">
        <f t="shared" si="33"/>
        <v>0.4660927994912768</v>
      </c>
      <c r="Q95" s="179" t="s">
        <v>601</v>
      </c>
    </row>
    <row r="96" spans="1:25" x14ac:dyDescent="0.3">
      <c r="A96" s="197">
        <f t="shared" si="30"/>
        <v>0.18947480020785146</v>
      </c>
      <c r="B96" s="178" t="str">
        <f t="shared" si="31"/>
        <v>Interior Lighting</v>
      </c>
      <c r="C96" s="178">
        <f t="shared" ref="C96:M96" si="35">C79*C$93</f>
        <v>220742.13117926987</v>
      </c>
      <c r="D96" s="178">
        <f t="shared" si="35"/>
        <v>150290.60553623125</v>
      </c>
      <c r="E96" s="178">
        <f t="shared" si="35"/>
        <v>4473.2994443364869</v>
      </c>
      <c r="F96" s="178">
        <f t="shared" si="35"/>
        <v>1326.1274215520102</v>
      </c>
      <c r="G96" s="178">
        <f t="shared" si="35"/>
        <v>30421.966511296203</v>
      </c>
      <c r="H96" s="178">
        <f t="shared" si="35"/>
        <v>148094.87747120403</v>
      </c>
      <c r="I96" s="178">
        <f t="shared" si="35"/>
        <v>31914.127797393292</v>
      </c>
      <c r="J96" s="178">
        <f t="shared" si="35"/>
        <v>44716.095079314306</v>
      </c>
      <c r="K96" s="178">
        <f t="shared" si="35"/>
        <v>52225.983016031845</v>
      </c>
      <c r="L96" s="178">
        <f t="shared" si="35"/>
        <v>17830.540724214465</v>
      </c>
      <c r="M96" s="178">
        <f t="shared" si="35"/>
        <v>16540.618151387676</v>
      </c>
      <c r="N96" s="200">
        <f t="shared" si="29"/>
        <v>718576.37233223149</v>
      </c>
      <c r="O96" s="197">
        <f t="shared" si="33"/>
        <v>0.18947480020785146</v>
      </c>
      <c r="Q96" s="179" t="s">
        <v>600</v>
      </c>
    </row>
    <row r="97" spans="1:17" x14ac:dyDescent="0.3">
      <c r="A97" s="197">
        <f t="shared" si="30"/>
        <v>2.0778040524588499E-2</v>
      </c>
      <c r="B97" s="178" t="str">
        <f t="shared" si="31"/>
        <v>Exterior Lighting</v>
      </c>
      <c r="C97" s="178">
        <f t="shared" ref="C97:M97" si="36">C80*C$93</f>
        <v>9107.7148537922658</v>
      </c>
      <c r="D97" s="178">
        <f t="shared" si="36"/>
        <v>12779.358905284369</v>
      </c>
      <c r="E97" s="178">
        <f t="shared" si="36"/>
        <v>798.31213731806076</v>
      </c>
      <c r="F97" s="178">
        <f t="shared" si="36"/>
        <v>387.13881935874014</v>
      </c>
      <c r="G97" s="178">
        <f t="shared" si="36"/>
        <v>2088.4346643925423</v>
      </c>
      <c r="H97" s="178">
        <f t="shared" si="36"/>
        <v>17922.07092674269</v>
      </c>
      <c r="I97" s="178">
        <f t="shared" si="36"/>
        <v>6399.6543673432943</v>
      </c>
      <c r="J97" s="178">
        <f t="shared" si="36"/>
        <v>8755.8854995006113</v>
      </c>
      <c r="K97" s="178">
        <f t="shared" si="36"/>
        <v>6851.1108959830754</v>
      </c>
      <c r="L97" s="178">
        <f t="shared" si="36"/>
        <v>6167.2283940391344</v>
      </c>
      <c r="M97" s="178">
        <f t="shared" si="36"/>
        <v>7543.0627117124095</v>
      </c>
      <c r="N97" s="200">
        <f t="shared" si="29"/>
        <v>78799.972175467192</v>
      </c>
      <c r="O97" s="197">
        <f t="shared" si="33"/>
        <v>2.0778040524588499E-2</v>
      </c>
      <c r="Q97" s="179" t="s">
        <v>599</v>
      </c>
    </row>
    <row r="98" spans="1:17" x14ac:dyDescent="0.3">
      <c r="A98" s="197">
        <f t="shared" si="30"/>
        <v>0.16002111045328948</v>
      </c>
      <c r="B98" s="178" t="str">
        <f t="shared" si="31"/>
        <v>Interior Equipment</v>
      </c>
      <c r="C98" s="178">
        <f t="shared" ref="C98:M98" si="37">C81*C$93</f>
        <v>191698.16576155799</v>
      </c>
      <c r="D98" s="178">
        <f t="shared" si="37"/>
        <v>89309.661389962086</v>
      </c>
      <c r="E98" s="178">
        <f t="shared" si="37"/>
        <v>2516.0692178100312</v>
      </c>
      <c r="F98" s="178">
        <f t="shared" si="37"/>
        <v>3103.9029865525777</v>
      </c>
      <c r="G98" s="178">
        <f t="shared" si="37"/>
        <v>30638.839831503192</v>
      </c>
      <c r="H98" s="178">
        <f t="shared" si="37"/>
        <v>157615.08540329768</v>
      </c>
      <c r="I98" s="178">
        <f t="shared" si="37"/>
        <v>29506.483177858059</v>
      </c>
      <c r="J98" s="178">
        <f t="shared" si="37"/>
        <v>8668.0787354344811</v>
      </c>
      <c r="K98" s="178">
        <f t="shared" si="37"/>
        <v>46680.0204224216</v>
      </c>
      <c r="L98" s="178">
        <f t="shared" si="37"/>
        <v>42393.889192496477</v>
      </c>
      <c r="M98" s="178">
        <f t="shared" si="37"/>
        <v>4744.1160321697198</v>
      </c>
      <c r="N98" s="200">
        <f t="shared" si="29"/>
        <v>606874.31215106382</v>
      </c>
      <c r="O98" s="197">
        <f t="shared" si="33"/>
        <v>0.16002111045328948</v>
      </c>
      <c r="Q98" s="179" t="s">
        <v>598</v>
      </c>
    </row>
    <row r="99" spans="1:17" x14ac:dyDescent="0.3">
      <c r="A99" s="197">
        <f t="shared" si="30"/>
        <v>3.6740704152511079E-2</v>
      </c>
      <c r="B99" s="178" t="str">
        <f t="shared" si="31"/>
        <v>Exterior Equipment</v>
      </c>
      <c r="C99" s="178">
        <f t="shared" ref="C99:M99" si="38">C82*C$93</f>
        <v>73242.723407241443</v>
      </c>
      <c r="D99" s="178">
        <f t="shared" si="38"/>
        <v>0</v>
      </c>
      <c r="E99" s="178">
        <f t="shared" si="38"/>
        <v>0</v>
      </c>
      <c r="F99" s="178">
        <f t="shared" si="38"/>
        <v>0</v>
      </c>
      <c r="G99" s="178">
        <f t="shared" si="38"/>
        <v>9181.1705059508458</v>
      </c>
      <c r="H99" s="178">
        <f t="shared" si="38"/>
        <v>35130.117092795794</v>
      </c>
      <c r="I99" s="178">
        <f t="shared" si="38"/>
        <v>12495.146772234726</v>
      </c>
      <c r="J99" s="178">
        <f t="shared" si="38"/>
        <v>0</v>
      </c>
      <c r="K99" s="178">
        <f t="shared" si="38"/>
        <v>9288.6426991050521</v>
      </c>
      <c r="L99" s="178">
        <f t="shared" si="38"/>
        <v>0</v>
      </c>
      <c r="M99" s="178">
        <f t="shared" si="38"/>
        <v>0</v>
      </c>
      <c r="N99" s="200">
        <f t="shared" si="29"/>
        <v>139337.80047732787</v>
      </c>
      <c r="O99" s="197">
        <f t="shared" si="33"/>
        <v>3.6740704152511079E-2</v>
      </c>
      <c r="Q99" s="179" t="s">
        <v>597</v>
      </c>
    </row>
    <row r="100" spans="1:17" x14ac:dyDescent="0.3">
      <c r="A100" s="197">
        <f t="shared" si="30"/>
        <v>7.5471214368025397E-2</v>
      </c>
      <c r="B100" s="178" t="str">
        <f t="shared" si="31"/>
        <v>Fans</v>
      </c>
      <c r="C100" s="178">
        <f t="shared" ref="C100:M100" si="39">C83*C$93</f>
        <v>110478.37513898275</v>
      </c>
      <c r="D100" s="178">
        <f t="shared" si="39"/>
        <v>57125.33427246748</v>
      </c>
      <c r="E100" s="178">
        <f t="shared" si="39"/>
        <v>1600.6784736583152</v>
      </c>
      <c r="F100" s="178">
        <f t="shared" si="39"/>
        <v>920.67347324441937</v>
      </c>
      <c r="G100" s="178">
        <f t="shared" si="39"/>
        <v>17549.734437915322</v>
      </c>
      <c r="H100" s="178">
        <f t="shared" si="39"/>
        <v>15289.835309647266</v>
      </c>
      <c r="I100" s="178">
        <f t="shared" si="39"/>
        <v>17608.484226359633</v>
      </c>
      <c r="J100" s="178">
        <f t="shared" si="39"/>
        <v>16930.250005072845</v>
      </c>
      <c r="K100" s="178">
        <f t="shared" si="39"/>
        <v>19179.932034818543</v>
      </c>
      <c r="L100" s="178">
        <f t="shared" si="39"/>
        <v>23783.1165113922</v>
      </c>
      <c r="M100" s="178">
        <f t="shared" si="39"/>
        <v>5755.4550752275436</v>
      </c>
      <c r="N100" s="200">
        <f t="shared" si="29"/>
        <v>286221.8689587863</v>
      </c>
      <c r="O100" s="197">
        <f t="shared" si="33"/>
        <v>7.5471214368025397E-2</v>
      </c>
    </row>
    <row r="101" spans="1:17" x14ac:dyDescent="0.3">
      <c r="A101" s="197">
        <f t="shared" si="30"/>
        <v>2.4247081149307945E-2</v>
      </c>
      <c r="B101" s="178" t="str">
        <f t="shared" si="31"/>
        <v>Pumps</v>
      </c>
      <c r="C101" s="178">
        <f t="shared" ref="C101:M101" si="40">C84*C$93</f>
        <v>54403.538629362811</v>
      </c>
      <c r="D101" s="178">
        <f t="shared" si="40"/>
        <v>1565.3989029269378</v>
      </c>
      <c r="E101" s="178">
        <f t="shared" si="40"/>
        <v>0</v>
      </c>
      <c r="F101" s="178">
        <f t="shared" si="40"/>
        <v>0</v>
      </c>
      <c r="G101" s="178">
        <f t="shared" si="40"/>
        <v>6897.3624400746285</v>
      </c>
      <c r="H101" s="178">
        <f t="shared" si="40"/>
        <v>21581.475631583486</v>
      </c>
      <c r="I101" s="178">
        <f t="shared" si="40"/>
        <v>1447.9623415212054</v>
      </c>
      <c r="J101" s="178">
        <f t="shared" si="40"/>
        <v>0</v>
      </c>
      <c r="K101" s="178">
        <f t="shared" si="40"/>
        <v>5565.1073133519094</v>
      </c>
      <c r="L101" s="178">
        <f t="shared" si="40"/>
        <v>495.33885010386177</v>
      </c>
      <c r="M101" s="178">
        <f t="shared" si="40"/>
        <v>0</v>
      </c>
      <c r="N101" s="200">
        <f t="shared" si="29"/>
        <v>91956.184108924834</v>
      </c>
      <c r="O101" s="197">
        <f t="shared" si="33"/>
        <v>2.4247081149307945E-2</v>
      </c>
    </row>
    <row r="102" spans="1:17" x14ac:dyDescent="0.3">
      <c r="A102" s="197">
        <f t="shared" si="30"/>
        <v>1.664934490128225E-2</v>
      </c>
      <c r="B102" s="178" t="str">
        <f t="shared" si="31"/>
        <v>Heat Rejection</v>
      </c>
      <c r="C102" s="178">
        <f t="shared" ref="C102:M102" si="41">C85*C$93</f>
        <v>37699.175066417229</v>
      </c>
      <c r="D102" s="178">
        <f t="shared" si="41"/>
        <v>0</v>
      </c>
      <c r="E102" s="178">
        <f t="shared" si="41"/>
        <v>0</v>
      </c>
      <c r="F102" s="178">
        <f t="shared" si="41"/>
        <v>0</v>
      </c>
      <c r="G102" s="178">
        <f t="shared" si="41"/>
        <v>4725.6920294179909</v>
      </c>
      <c r="H102" s="178">
        <f t="shared" si="41"/>
        <v>16895.482681847701</v>
      </c>
      <c r="I102" s="178">
        <f t="shared" si="41"/>
        <v>0</v>
      </c>
      <c r="J102" s="178">
        <f t="shared" si="41"/>
        <v>0</v>
      </c>
      <c r="K102" s="178">
        <f t="shared" si="41"/>
        <v>3821.6925822898556</v>
      </c>
      <c r="L102" s="178">
        <f t="shared" si="41"/>
        <v>0</v>
      </c>
      <c r="M102" s="178">
        <f t="shared" si="41"/>
        <v>0</v>
      </c>
      <c r="N102" s="200">
        <f t="shared" si="29"/>
        <v>63142.042359972773</v>
      </c>
      <c r="O102" s="197">
        <f t="shared" si="33"/>
        <v>1.664934490128225E-2</v>
      </c>
    </row>
    <row r="103" spans="1:17" x14ac:dyDescent="0.3">
      <c r="A103" s="197">
        <f t="shared" si="30"/>
        <v>2.7643653499805982E-4</v>
      </c>
      <c r="B103" s="178" t="str">
        <f t="shared" si="31"/>
        <v>Humidification</v>
      </c>
      <c r="C103" s="178">
        <f t="shared" ref="C103:M103" si="42">C86*C$93</f>
        <v>757.61362338547281</v>
      </c>
      <c r="D103" s="178">
        <f t="shared" si="42"/>
        <v>0</v>
      </c>
      <c r="E103" s="178">
        <f t="shared" si="42"/>
        <v>0</v>
      </c>
      <c r="F103" s="178">
        <f t="shared" si="42"/>
        <v>0</v>
      </c>
      <c r="G103" s="178">
        <f t="shared" si="42"/>
        <v>114.19482971549621</v>
      </c>
      <c r="H103" s="178">
        <f t="shared" si="42"/>
        <v>0</v>
      </c>
      <c r="I103" s="178">
        <f t="shared" si="42"/>
        <v>0</v>
      </c>
      <c r="J103" s="178">
        <f t="shared" si="42"/>
        <v>0</v>
      </c>
      <c r="K103" s="178">
        <f t="shared" si="42"/>
        <v>54.054956809473211</v>
      </c>
      <c r="L103" s="178">
        <f t="shared" si="42"/>
        <v>122.51221724995804</v>
      </c>
      <c r="M103" s="178">
        <f t="shared" si="42"/>
        <v>0</v>
      </c>
      <c r="N103" s="200">
        <f t="shared" si="29"/>
        <v>1048.3756271604002</v>
      </c>
      <c r="O103" s="197">
        <f t="shared" si="33"/>
        <v>2.7643653499805982E-4</v>
      </c>
    </row>
    <row r="104" spans="1:17" x14ac:dyDescent="0.3">
      <c r="A104" s="197">
        <f t="shared" si="30"/>
        <v>0</v>
      </c>
      <c r="B104" s="178" t="str">
        <f t="shared" si="31"/>
        <v>Heat Recovery</v>
      </c>
      <c r="C104" s="178">
        <f t="shared" ref="C104:M104" si="43">C87*C$93</f>
        <v>0</v>
      </c>
      <c r="D104" s="178">
        <f t="shared" si="43"/>
        <v>0</v>
      </c>
      <c r="E104" s="178">
        <f t="shared" si="43"/>
        <v>0</v>
      </c>
      <c r="F104" s="178">
        <f t="shared" si="43"/>
        <v>0</v>
      </c>
      <c r="G104" s="178">
        <f t="shared" si="43"/>
        <v>0</v>
      </c>
      <c r="H104" s="178">
        <f t="shared" si="43"/>
        <v>0</v>
      </c>
      <c r="I104" s="178">
        <f t="shared" si="43"/>
        <v>0</v>
      </c>
      <c r="J104" s="178">
        <f t="shared" si="43"/>
        <v>0</v>
      </c>
      <c r="K104" s="178">
        <f t="shared" si="43"/>
        <v>0</v>
      </c>
      <c r="L104" s="178">
        <f t="shared" si="43"/>
        <v>0</v>
      </c>
      <c r="M104" s="178">
        <f t="shared" si="43"/>
        <v>0</v>
      </c>
      <c r="N104" s="200">
        <f t="shared" si="29"/>
        <v>0</v>
      </c>
      <c r="O104" s="197">
        <f t="shared" si="33"/>
        <v>0</v>
      </c>
    </row>
    <row r="105" spans="1:17" x14ac:dyDescent="0.3">
      <c r="A105" s="197">
        <f t="shared" si="30"/>
        <v>0</v>
      </c>
      <c r="B105" s="178" t="str">
        <f t="shared" si="31"/>
        <v>Water Systems</v>
      </c>
      <c r="C105" s="178">
        <f t="shared" ref="C105:M105" si="44">C88*C$93</f>
        <v>0</v>
      </c>
      <c r="D105" s="178">
        <f t="shared" si="44"/>
        <v>0</v>
      </c>
      <c r="E105" s="178">
        <f t="shared" si="44"/>
        <v>0</v>
      </c>
      <c r="F105" s="178">
        <f t="shared" si="44"/>
        <v>0</v>
      </c>
      <c r="G105" s="178">
        <f t="shared" si="44"/>
        <v>0</v>
      </c>
      <c r="H105" s="178">
        <f t="shared" si="44"/>
        <v>0</v>
      </c>
      <c r="I105" s="178">
        <f t="shared" si="44"/>
        <v>0</v>
      </c>
      <c r="J105" s="178">
        <f t="shared" si="44"/>
        <v>0</v>
      </c>
      <c r="K105" s="178">
        <f t="shared" si="44"/>
        <v>0</v>
      </c>
      <c r="L105" s="178">
        <f t="shared" si="44"/>
        <v>0</v>
      </c>
      <c r="M105" s="178">
        <f t="shared" si="44"/>
        <v>0</v>
      </c>
      <c r="N105" s="200">
        <f t="shared" si="29"/>
        <v>0</v>
      </c>
      <c r="O105" s="197">
        <f t="shared" si="33"/>
        <v>0</v>
      </c>
    </row>
    <row r="106" spans="1:17" x14ac:dyDescent="0.3">
      <c r="A106" s="197">
        <f t="shared" si="30"/>
        <v>9.946685736205026E-3</v>
      </c>
      <c r="B106" s="178" t="str">
        <f t="shared" si="31"/>
        <v>Refrigeration</v>
      </c>
      <c r="C106" s="178">
        <f t="shared" ref="C106:M106" si="45">C89*C$93</f>
        <v>6009.5105846927354</v>
      </c>
      <c r="D106" s="178">
        <f t="shared" si="45"/>
        <v>6098.7079088457658</v>
      </c>
      <c r="E106" s="178">
        <f t="shared" si="45"/>
        <v>14442.971933654297</v>
      </c>
      <c r="F106" s="178">
        <f t="shared" si="45"/>
        <v>390.29022568071633</v>
      </c>
      <c r="G106" s="178">
        <f t="shared" si="45"/>
        <v>753.30816180335171</v>
      </c>
      <c r="H106" s="178">
        <f t="shared" si="45"/>
        <v>0</v>
      </c>
      <c r="I106" s="178">
        <f t="shared" si="45"/>
        <v>1043.8512655893751</v>
      </c>
      <c r="J106" s="178">
        <f t="shared" si="45"/>
        <v>0</v>
      </c>
      <c r="K106" s="178">
        <f t="shared" si="45"/>
        <v>8983.808209481489</v>
      </c>
      <c r="L106" s="178">
        <f t="shared" si="45"/>
        <v>0</v>
      </c>
      <c r="M106" s="178">
        <f t="shared" si="45"/>
        <v>0</v>
      </c>
      <c r="N106" s="200">
        <f t="shared" si="29"/>
        <v>37722.448289747728</v>
      </c>
      <c r="O106" s="197">
        <f t="shared" si="33"/>
        <v>9.946685736205026E-3</v>
      </c>
    </row>
    <row r="107" spans="1:17" x14ac:dyDescent="0.3">
      <c r="A107" s="197">
        <f t="shared" si="30"/>
        <v>0</v>
      </c>
      <c r="B107" s="178" t="str">
        <f t="shared" si="31"/>
        <v>Generators</v>
      </c>
      <c r="C107" s="178">
        <f t="shared" ref="C107:M107" si="46">C90*C$93</f>
        <v>0</v>
      </c>
      <c r="D107" s="178">
        <f t="shared" si="46"/>
        <v>0</v>
      </c>
      <c r="E107" s="178">
        <f t="shared" si="46"/>
        <v>0</v>
      </c>
      <c r="F107" s="178">
        <f t="shared" si="46"/>
        <v>0</v>
      </c>
      <c r="G107" s="178">
        <f t="shared" si="46"/>
        <v>0</v>
      </c>
      <c r="H107" s="178">
        <f t="shared" si="46"/>
        <v>0</v>
      </c>
      <c r="I107" s="178">
        <f t="shared" si="46"/>
        <v>0</v>
      </c>
      <c r="J107" s="178">
        <f t="shared" si="46"/>
        <v>0</v>
      </c>
      <c r="K107" s="178">
        <f t="shared" si="46"/>
        <v>0</v>
      </c>
      <c r="L107" s="178">
        <f t="shared" si="46"/>
        <v>0</v>
      </c>
      <c r="M107" s="178">
        <f t="shared" si="46"/>
        <v>0</v>
      </c>
      <c r="N107" s="200">
        <f t="shared" si="29"/>
        <v>0</v>
      </c>
      <c r="O107" s="197">
        <f t="shared" si="33"/>
        <v>0</v>
      </c>
    </row>
    <row r="108" spans="1:17" x14ac:dyDescent="0.3">
      <c r="N108" s="200">
        <f>SUM(N94:N107)</f>
        <v>3792464.0719713774</v>
      </c>
      <c r="O108" s="197">
        <f t="shared" si="33"/>
        <v>1</v>
      </c>
    </row>
    <row r="109" spans="1:17" x14ac:dyDescent="0.3">
      <c r="G109" s="198" t="s">
        <v>649</v>
      </c>
    </row>
    <row r="110" spans="1:17" x14ac:dyDescent="0.3">
      <c r="C110" s="178" t="s">
        <v>648</v>
      </c>
      <c r="D110" s="178" t="s">
        <v>647</v>
      </c>
      <c r="E110" s="198" t="s">
        <v>646</v>
      </c>
      <c r="F110" s="198" t="s">
        <v>645</v>
      </c>
      <c r="G110" s="198" t="s">
        <v>644</v>
      </c>
    </row>
    <row r="111" spans="1:17" x14ac:dyDescent="0.3">
      <c r="C111" s="178" t="s">
        <v>643</v>
      </c>
      <c r="E111" s="198"/>
      <c r="G111" s="198" t="s">
        <v>642</v>
      </c>
    </row>
    <row r="112" spans="1:17" x14ac:dyDescent="0.3">
      <c r="E112" s="198"/>
      <c r="G112" s="198"/>
      <c r="J112" s="178" t="s">
        <v>641</v>
      </c>
    </row>
    <row r="113" spans="1:15" x14ac:dyDescent="0.3">
      <c r="E113" s="198"/>
      <c r="G113" s="198"/>
      <c r="J113" s="178" t="s">
        <v>640</v>
      </c>
      <c r="K113" s="178" t="s">
        <v>639</v>
      </c>
    </row>
    <row r="114" spans="1:15" x14ac:dyDescent="0.3">
      <c r="B114" s="178" t="s">
        <v>638</v>
      </c>
      <c r="C114" s="178">
        <v>2000</v>
      </c>
      <c r="E114" s="199">
        <v>0.5</v>
      </c>
      <c r="F114" s="178">
        <f>C114*E114</f>
        <v>1000</v>
      </c>
      <c r="G114" s="198">
        <v>90</v>
      </c>
      <c r="I114" s="198">
        <f>E114*G114</f>
        <v>45</v>
      </c>
      <c r="J114" s="178">
        <f>I114/$I$116</f>
        <v>0.75</v>
      </c>
      <c r="K114" s="195">
        <f>SUM(C77:C91)</f>
        <v>12562544.999999998</v>
      </c>
      <c r="L114" s="178">
        <f>J114*K114</f>
        <v>9421908.7499999981</v>
      </c>
    </row>
    <row r="115" spans="1:15" x14ac:dyDescent="0.3">
      <c r="B115" s="178" t="s">
        <v>525</v>
      </c>
      <c r="C115" s="178">
        <v>2000</v>
      </c>
      <c r="E115" s="199">
        <v>0.5</v>
      </c>
      <c r="F115" s="178">
        <f>C115*E115</f>
        <v>1000</v>
      </c>
      <c r="G115" s="198">
        <v>30</v>
      </c>
      <c r="I115" s="198">
        <f>E115*G115</f>
        <v>15</v>
      </c>
      <c r="J115" s="178">
        <f>I115/$I$116</f>
        <v>0.25</v>
      </c>
      <c r="K115" s="195">
        <f>SUM(M77:M91)</f>
        <v>248478.88888888888</v>
      </c>
      <c r="L115" s="178">
        <f>J115*K115</f>
        <v>62119.722222222219</v>
      </c>
    </row>
    <row r="116" spans="1:15" x14ac:dyDescent="0.3">
      <c r="I116" s="198">
        <f>I115+I114</f>
        <v>60</v>
      </c>
    </row>
    <row r="119" spans="1:15" x14ac:dyDescent="0.3">
      <c r="C119" s="192" t="str">
        <f t="shared" ref="C119:M119" si="47">C76</f>
        <v>Assembly</v>
      </c>
      <c r="D119" s="192" t="str">
        <f t="shared" si="47"/>
        <v>Education</v>
      </c>
      <c r="E119" s="192" t="str">
        <f t="shared" si="47"/>
        <v>Food Sales</v>
      </c>
      <c r="F119" s="192" t="str">
        <f t="shared" si="47"/>
        <v>Food Service</v>
      </c>
      <c r="G119" s="192" t="str">
        <f t="shared" si="47"/>
        <v>Health Care</v>
      </c>
      <c r="H119" s="192" t="str">
        <f t="shared" si="47"/>
        <v>Large Office</v>
      </c>
      <c r="I119" s="192" t="str">
        <f t="shared" si="47"/>
        <v>Lodging</v>
      </c>
      <c r="J119" s="192" t="str">
        <f t="shared" si="47"/>
        <v>Mercantile/Service</v>
      </c>
      <c r="K119" s="192" t="str">
        <f t="shared" si="47"/>
        <v>Other</v>
      </c>
      <c r="L119" s="192" t="str">
        <f t="shared" si="47"/>
        <v>Small Office</v>
      </c>
      <c r="M119" s="192" t="str">
        <f t="shared" si="47"/>
        <v>Warehouse</v>
      </c>
      <c r="N119" s="178" t="s">
        <v>637</v>
      </c>
    </row>
    <row r="120" spans="1:15" x14ac:dyDescent="0.3">
      <c r="A120" s="197"/>
      <c r="B120" s="178" t="s">
        <v>636</v>
      </c>
      <c r="C120" s="196">
        <f t="shared" ref="C120:M120" si="48">C93</f>
        <v>0.10549273010705121</v>
      </c>
      <c r="D120" s="196">
        <f t="shared" si="48"/>
        <v>0.16032078889752713</v>
      </c>
      <c r="E120" s="196">
        <f t="shared" si="48"/>
        <v>1.1528528025195831E-2</v>
      </c>
      <c r="F120" s="196">
        <f t="shared" si="48"/>
        <v>2.0683247712744126E-2</v>
      </c>
      <c r="G120" s="196">
        <f t="shared" si="48"/>
        <v>2.6447589526834337E-2</v>
      </c>
      <c r="H120" s="196">
        <f t="shared" si="48"/>
        <v>7.415015111297843E-2</v>
      </c>
      <c r="I120" s="196">
        <f t="shared" si="48"/>
        <v>6.4152648451331173E-2</v>
      </c>
      <c r="J120" s="196">
        <f t="shared" si="48"/>
        <v>0.17775634744778759</v>
      </c>
      <c r="K120" s="196">
        <f t="shared" si="48"/>
        <v>0.10015327756252744</v>
      </c>
      <c r="L120" s="196">
        <f t="shared" si="48"/>
        <v>9.5755816267965033E-2</v>
      </c>
      <c r="M120" s="196">
        <f t="shared" si="48"/>
        <v>0.16355887488805776</v>
      </c>
      <c r="N120" s="196"/>
      <c r="O120" s="196"/>
    </row>
    <row r="121" spans="1:15" x14ac:dyDescent="0.3">
      <c r="B121" s="178" t="s">
        <v>635</v>
      </c>
      <c r="C121" s="195">
        <f t="shared" ref="C121:M121" si="49">SUM(C77:C91)</f>
        <v>12562544.999999998</v>
      </c>
      <c r="D121" s="195">
        <f t="shared" si="49"/>
        <v>4373657.0333333341</v>
      </c>
      <c r="E121" s="195">
        <f t="shared" si="49"/>
        <v>2215277.777777778</v>
      </c>
      <c r="F121" s="195">
        <f t="shared" si="49"/>
        <v>377746.06008731999</v>
      </c>
      <c r="G121" s="195">
        <f t="shared" si="49"/>
        <v>7194218.5081339991</v>
      </c>
      <c r="H121" s="195">
        <f t="shared" si="49"/>
        <v>8530633.555555556</v>
      </c>
      <c r="I121" s="195">
        <f t="shared" si="49"/>
        <v>5151577.0999999996</v>
      </c>
      <c r="J121" s="195">
        <f t="shared" si="49"/>
        <v>608679.9786161466</v>
      </c>
      <c r="K121" s="195">
        <f t="shared" si="49"/>
        <v>2749991.0465223622</v>
      </c>
      <c r="L121" s="195">
        <f t="shared" si="49"/>
        <v>1619784.1743158402</v>
      </c>
      <c r="M121" s="195">
        <f t="shared" si="49"/>
        <v>248478.88888888888</v>
      </c>
    </row>
    <row r="122" spans="1:15" x14ac:dyDescent="0.3">
      <c r="B122" s="178" t="s">
        <v>634</v>
      </c>
      <c r="C122" s="190">
        <f>D57</f>
        <v>241887</v>
      </c>
      <c r="D122" s="190">
        <f>0.26*L57+0.74*K57</f>
        <v>175285.98</v>
      </c>
      <c r="E122" s="190">
        <f>O57</f>
        <v>45000</v>
      </c>
      <c r="F122" s="190">
        <f>0.31*N57+0.69*P57</f>
        <v>4570</v>
      </c>
      <c r="G122" s="190">
        <f>0.5*D57+0.5*Q57</f>
        <v>141416.5</v>
      </c>
      <c r="H122" s="190">
        <f>0.9*I57+0.1*E57</f>
        <v>454092</v>
      </c>
      <c r="I122" s="190">
        <f>0.26*G57+0.74*J57</f>
        <v>101600.8</v>
      </c>
      <c r="J122" s="190">
        <f>0.53*M57+0.47*R57</f>
        <v>23804.86</v>
      </c>
      <c r="K122" s="190">
        <f>AVERAGE(C57:R57)</f>
        <v>92310.1875</v>
      </c>
      <c r="L122" s="190">
        <f>0.12*F57+0.88*Q57</f>
        <v>36692.480000000003</v>
      </c>
      <c r="M122" s="190">
        <f>C57</f>
        <v>52045</v>
      </c>
    </row>
    <row r="123" spans="1:15" x14ac:dyDescent="0.3">
      <c r="B123" s="178" t="s">
        <v>537</v>
      </c>
      <c r="C123" s="195">
        <f t="shared" ref="C123:M123" si="50">C121/C122</f>
        <v>51.935593893016154</v>
      </c>
      <c r="D123" s="195">
        <f t="shared" si="50"/>
        <v>24.951550793356855</v>
      </c>
      <c r="E123" s="195">
        <f t="shared" si="50"/>
        <v>49.228395061728399</v>
      </c>
      <c r="F123" s="195">
        <f t="shared" si="50"/>
        <v>82.657781200726475</v>
      </c>
      <c r="G123" s="195">
        <f t="shared" si="50"/>
        <v>50.872553825996256</v>
      </c>
      <c r="H123" s="195">
        <f t="shared" si="50"/>
        <v>18.786134870368905</v>
      </c>
      <c r="I123" s="195">
        <f t="shared" si="50"/>
        <v>50.704099770867941</v>
      </c>
      <c r="J123" s="195">
        <f t="shared" si="50"/>
        <v>25.56956766879312</v>
      </c>
      <c r="K123" s="195">
        <f t="shared" si="50"/>
        <v>29.790764389059031</v>
      </c>
      <c r="L123" s="195">
        <f t="shared" si="50"/>
        <v>44.144854049544762</v>
      </c>
      <c r="M123" s="195">
        <f t="shared" si="50"/>
        <v>4.7743085577651811</v>
      </c>
    </row>
    <row r="124" spans="1:15" x14ac:dyDescent="0.3">
      <c r="B124" s="178" t="s">
        <v>633</v>
      </c>
      <c r="C124" s="194">
        <f t="shared" ref="C124:M124" si="51">C123*C120</f>
        <v>5.4788275895053697</v>
      </c>
      <c r="D124" s="194">
        <f t="shared" si="51"/>
        <v>4.0002523074076901</v>
      </c>
      <c r="E124" s="194">
        <f t="shared" si="51"/>
        <v>0.56753093210454786</v>
      </c>
      <c r="F124" s="194">
        <f t="shared" si="51"/>
        <v>1.7096313639604304</v>
      </c>
      <c r="G124" s="194">
        <f t="shared" si="51"/>
        <v>1.3454564217717346</v>
      </c>
      <c r="H124" s="194">
        <f t="shared" si="51"/>
        <v>1.3929947394666478</v>
      </c>
      <c r="I124" s="194">
        <f t="shared" si="51"/>
        <v>3.2528022876417126</v>
      </c>
      <c r="J124" s="194">
        <f t="shared" si="51"/>
        <v>4.5451529546237062</v>
      </c>
      <c r="K124" s="194">
        <f t="shared" si="51"/>
        <v>2.9836426946572874</v>
      </c>
      <c r="L124" s="194">
        <f t="shared" si="51"/>
        <v>4.2271265335443404</v>
      </c>
      <c r="M124" s="194">
        <f t="shared" si="51"/>
        <v>0.78088053607649877</v>
      </c>
      <c r="N124" s="194">
        <f>SUM(C124:M124)</f>
        <v>30.284298360759966</v>
      </c>
    </row>
    <row r="125" spans="1:15" x14ac:dyDescent="0.3">
      <c r="B125" s="192" t="s">
        <v>632</v>
      </c>
      <c r="C125" s="193">
        <f t="shared" ref="C125:M125" si="52">C124/$N$124</f>
        <v>0.18091314265363359</v>
      </c>
      <c r="D125" s="193">
        <f t="shared" si="52"/>
        <v>0.13208997810531761</v>
      </c>
      <c r="E125" s="193">
        <f t="shared" si="52"/>
        <v>1.8740105032114932E-2</v>
      </c>
      <c r="F125" s="193">
        <f t="shared" si="52"/>
        <v>5.6452731497839075E-2</v>
      </c>
      <c r="G125" s="193">
        <f t="shared" si="52"/>
        <v>4.4427524974957722E-2</v>
      </c>
      <c r="H125" s="193">
        <f t="shared" si="52"/>
        <v>4.5997259796897977E-2</v>
      </c>
      <c r="I125" s="193">
        <f t="shared" si="52"/>
        <v>0.1074088707254463</v>
      </c>
      <c r="J125" s="193">
        <f t="shared" si="52"/>
        <v>0.15008282181346361</v>
      </c>
      <c r="K125" s="193">
        <f t="shared" si="52"/>
        <v>9.8521110151366734E-2</v>
      </c>
      <c r="L125" s="193">
        <f t="shared" si="52"/>
        <v>0.13958145845708356</v>
      </c>
      <c r="M125" s="193">
        <f t="shared" si="52"/>
        <v>2.5784996791878886E-2</v>
      </c>
      <c r="O125" s="178" t="s">
        <v>631</v>
      </c>
    </row>
    <row r="126" spans="1:15" x14ac:dyDescent="0.3">
      <c r="B126" s="192" t="s">
        <v>630</v>
      </c>
      <c r="C126" s="191">
        <f>C125*Commercial!$I$8</f>
        <v>1718163643.9076152</v>
      </c>
      <c r="D126" s="191">
        <f>D125*Commercial!$I$8</f>
        <v>1254481541.6733978</v>
      </c>
      <c r="E126" s="191">
        <f>E125*Commercial!$I$8</f>
        <v>177978043.36877638</v>
      </c>
      <c r="F126" s="191">
        <f>F125*Commercial!$I$8</f>
        <v>536141429.17503107</v>
      </c>
      <c r="G126" s="191">
        <f>G125*Commercial!$I$8</f>
        <v>421935947.16838443</v>
      </c>
      <c r="H126" s="191">
        <f>H125*Commercial!$I$8</f>
        <v>436843992.33344573</v>
      </c>
      <c r="I126" s="191">
        <f>I125*Commercial!$I$8</f>
        <v>1020080763.6566046</v>
      </c>
      <c r="J126" s="191">
        <f>J125*Commercial!$I$8</f>
        <v>1425362714.0215883</v>
      </c>
      <c r="K126" s="191">
        <f>K125*Commercial!$I$8</f>
        <v>935672152.59524405</v>
      </c>
      <c r="L126" s="191">
        <f>L125*Commercial!$I$8</f>
        <v>1325629436.1306608</v>
      </c>
      <c r="M126" s="191">
        <f>M125*Commercial!$I$8</f>
        <v>244884608.13983315</v>
      </c>
      <c r="N126" s="190">
        <f>SUM(C126:M126)</f>
        <v>9497174272.1705818</v>
      </c>
      <c r="O126" s="190">
        <f>N126-Commercial!I8</f>
        <v>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3C6AF-9F32-4575-92C2-11A8F81ABBE1}">
  <sheetPr codeName="Sheet17"/>
  <dimension ref="B1:D23"/>
  <sheetViews>
    <sheetView workbookViewId="0">
      <selection activeCell="D1" sqref="D1:D23"/>
    </sheetView>
  </sheetViews>
  <sheetFormatPr defaultColWidth="10.6640625" defaultRowHeight="15.6" x14ac:dyDescent="0.3"/>
  <cols>
    <col min="1" max="16384" width="10.6640625" style="178"/>
  </cols>
  <sheetData>
    <row r="1" spans="2:4" x14ac:dyDescent="0.3">
      <c r="B1" s="180"/>
      <c r="C1" s="178" t="s">
        <v>627</v>
      </c>
      <c r="D1" s="178" t="s">
        <v>626</v>
      </c>
    </row>
    <row r="2" spans="2:4" x14ac:dyDescent="0.3">
      <c r="B2" s="180"/>
      <c r="C2" s="178" t="s">
        <v>625</v>
      </c>
      <c r="D2" s="179" t="s">
        <v>624</v>
      </c>
    </row>
    <row r="3" spans="2:4" x14ac:dyDescent="0.3">
      <c r="B3" s="180"/>
      <c r="D3" s="179" t="s">
        <v>623</v>
      </c>
    </row>
    <row r="4" spans="2:4" x14ac:dyDescent="0.3">
      <c r="B4" s="180"/>
      <c r="C4" s="178" t="s">
        <v>622</v>
      </c>
      <c r="D4" s="178" t="s">
        <v>536</v>
      </c>
    </row>
    <row r="5" spans="2:4" x14ac:dyDescent="0.3">
      <c r="B5" s="180"/>
      <c r="C5" s="178" t="s">
        <v>621</v>
      </c>
      <c r="D5" s="179" t="s">
        <v>620</v>
      </c>
    </row>
    <row r="6" spans="2:4" x14ac:dyDescent="0.3">
      <c r="B6" s="180"/>
      <c r="D6" s="179" t="s">
        <v>619</v>
      </c>
    </row>
    <row r="7" spans="2:4" x14ac:dyDescent="0.3">
      <c r="B7" s="180"/>
      <c r="C7" s="179" t="s">
        <v>618</v>
      </c>
    </row>
    <row r="8" spans="2:4" x14ac:dyDescent="0.3">
      <c r="B8" s="180"/>
      <c r="C8" s="178" t="s">
        <v>617</v>
      </c>
      <c r="D8" s="179" t="s">
        <v>616</v>
      </c>
    </row>
    <row r="9" spans="2:4" x14ac:dyDescent="0.3">
      <c r="B9" s="180"/>
      <c r="D9" s="179" t="s">
        <v>615</v>
      </c>
    </row>
    <row r="10" spans="2:4" x14ac:dyDescent="0.3">
      <c r="B10" s="180"/>
      <c r="C10" s="178" t="s">
        <v>614</v>
      </c>
      <c r="D10" s="179" t="s">
        <v>613</v>
      </c>
    </row>
    <row r="11" spans="2:4" x14ac:dyDescent="0.3">
      <c r="B11" s="180"/>
      <c r="D11" s="179" t="s">
        <v>612</v>
      </c>
    </row>
    <row r="12" spans="2:4" x14ac:dyDescent="0.3">
      <c r="B12" s="180"/>
      <c r="C12" s="178" t="s">
        <v>611</v>
      </c>
      <c r="D12" s="179" t="s">
        <v>610</v>
      </c>
    </row>
    <row r="13" spans="2:4" x14ac:dyDescent="0.3">
      <c r="B13" s="180"/>
      <c r="D13" s="179" t="s">
        <v>609</v>
      </c>
    </row>
    <row r="14" spans="2:4" x14ac:dyDescent="0.3">
      <c r="B14" s="180"/>
      <c r="C14" s="178" t="s">
        <v>608</v>
      </c>
      <c r="D14" s="179" t="s">
        <v>607</v>
      </c>
    </row>
    <row r="15" spans="2:4" x14ac:dyDescent="0.3">
      <c r="B15" s="180"/>
      <c r="D15" s="179" t="s">
        <v>606</v>
      </c>
    </row>
    <row r="16" spans="2:4" x14ac:dyDescent="0.3">
      <c r="B16" s="180"/>
      <c r="C16" s="178" t="s">
        <v>605</v>
      </c>
      <c r="D16" s="179" t="s">
        <v>604</v>
      </c>
    </row>
    <row r="17" spans="2:3" x14ac:dyDescent="0.3">
      <c r="B17" s="180"/>
      <c r="C17" s="179" t="s">
        <v>603</v>
      </c>
    </row>
    <row r="18" spans="2:3" x14ac:dyDescent="0.3">
      <c r="B18" s="180"/>
      <c r="C18" s="179" t="s">
        <v>602</v>
      </c>
    </row>
    <row r="19" spans="2:3" x14ac:dyDescent="0.3">
      <c r="B19" s="180"/>
      <c r="C19" s="179" t="s">
        <v>601</v>
      </c>
    </row>
    <row r="20" spans="2:3" x14ac:dyDescent="0.3">
      <c r="B20" s="180"/>
      <c r="C20" s="179" t="s">
        <v>600</v>
      </c>
    </row>
    <row r="21" spans="2:3" x14ac:dyDescent="0.3">
      <c r="B21" s="180"/>
      <c r="C21" s="179" t="s">
        <v>599</v>
      </c>
    </row>
    <row r="22" spans="2:3" x14ac:dyDescent="0.3">
      <c r="B22" s="180"/>
      <c r="C22" s="179" t="s">
        <v>598</v>
      </c>
    </row>
    <row r="23" spans="2:3" x14ac:dyDescent="0.3">
      <c r="B23" s="180"/>
      <c r="C23" s="179" t="s">
        <v>597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E5CC4-DB4E-4A0E-A8B5-796DC3792BB8}">
  <sheetPr codeName="Sheet14"/>
  <dimension ref="A1:O51"/>
  <sheetViews>
    <sheetView workbookViewId="0">
      <selection activeCell="H25" sqref="H25"/>
    </sheetView>
  </sheetViews>
  <sheetFormatPr defaultColWidth="10.6640625" defaultRowHeight="15.6" x14ac:dyDescent="0.3"/>
  <cols>
    <col min="1" max="16384" width="10.6640625" style="178"/>
  </cols>
  <sheetData>
    <row r="1" spans="1:15" x14ac:dyDescent="0.3">
      <c r="B1" s="178">
        <v>1</v>
      </c>
    </row>
    <row r="2" spans="1:15" x14ac:dyDescent="0.3">
      <c r="A2" s="188" t="s">
        <v>512</v>
      </c>
      <c r="C2" s="178" t="s">
        <v>525</v>
      </c>
      <c r="D2" s="178" t="s">
        <v>526</v>
      </c>
      <c r="E2" s="178" t="s">
        <v>527</v>
      </c>
      <c r="F2" s="178" t="s">
        <v>528</v>
      </c>
      <c r="G2" s="178" t="s">
        <v>510</v>
      </c>
      <c r="H2" s="178" t="s">
        <v>529</v>
      </c>
      <c r="I2" s="178" t="s">
        <v>530</v>
      </c>
      <c r="J2" s="178" t="s">
        <v>531</v>
      </c>
      <c r="K2" s="178" t="s">
        <v>532</v>
      </c>
      <c r="L2" s="178" t="s">
        <v>533</v>
      </c>
      <c r="M2" s="178" t="s">
        <v>534</v>
      </c>
      <c r="N2" s="178" t="s">
        <v>535</v>
      </c>
      <c r="O2" s="178" t="s">
        <v>536</v>
      </c>
    </row>
    <row r="3" spans="1:15" hidden="1" x14ac:dyDescent="0.3">
      <c r="A3" s="178" t="s">
        <v>629</v>
      </c>
      <c r="B3" s="188" t="s">
        <v>512</v>
      </c>
      <c r="C3" s="185"/>
      <c r="D3" s="186"/>
      <c r="E3" s="186"/>
      <c r="F3" s="186"/>
      <c r="G3" s="186"/>
      <c r="H3" s="186"/>
      <c r="I3" s="181"/>
      <c r="J3" s="181"/>
      <c r="K3" s="181"/>
      <c r="L3" s="187"/>
      <c r="M3" s="186"/>
      <c r="N3" s="185"/>
      <c r="O3" s="184"/>
    </row>
    <row r="4" spans="1:15" hidden="1" x14ac:dyDescent="0.3">
      <c r="B4" s="182" t="s">
        <v>513</v>
      </c>
      <c r="C4" s="181">
        <v>0</v>
      </c>
      <c r="D4" s="181">
        <v>0</v>
      </c>
      <c r="E4" s="181">
        <v>0</v>
      </c>
      <c r="F4" s="181">
        <v>0</v>
      </c>
      <c r="G4" s="181">
        <v>0</v>
      </c>
      <c r="H4" s="181">
        <v>0</v>
      </c>
      <c r="I4" s="181">
        <v>19.444444444444443</v>
      </c>
      <c r="J4" s="181">
        <v>0</v>
      </c>
      <c r="K4" s="181">
        <v>0</v>
      </c>
      <c r="L4" s="181">
        <v>0</v>
      </c>
      <c r="M4" s="181">
        <v>38.888888888888886</v>
      </c>
      <c r="N4" s="181">
        <v>0</v>
      </c>
      <c r="O4" s="181">
        <v>0</v>
      </c>
    </row>
    <row r="5" spans="1:15" hidden="1" x14ac:dyDescent="0.3">
      <c r="B5" s="182" t="s">
        <v>143</v>
      </c>
      <c r="C5" s="181">
        <v>19680.555555555555</v>
      </c>
      <c r="D5" s="181">
        <v>6041913.888888889</v>
      </c>
      <c r="E5" s="181">
        <v>3586430.5555555555</v>
      </c>
      <c r="F5" s="181">
        <v>301736.11111111112</v>
      </c>
      <c r="G5" s="181">
        <v>33680.555555555555</v>
      </c>
      <c r="H5" s="181">
        <v>5082066.666666667</v>
      </c>
      <c r="I5" s="181">
        <v>267991.66666666669</v>
      </c>
      <c r="J5" s="181">
        <v>158791.66666666666</v>
      </c>
      <c r="K5" s="181">
        <v>1485355.5555555555</v>
      </c>
      <c r="L5" s="181">
        <v>485038.88888888888</v>
      </c>
      <c r="M5" s="181">
        <v>182338.88888888888</v>
      </c>
      <c r="N5" s="181">
        <v>43372.222222222219</v>
      </c>
      <c r="O5" s="181">
        <v>163205.55555555556</v>
      </c>
    </row>
    <row r="6" spans="1:15" hidden="1" x14ac:dyDescent="0.3">
      <c r="B6" s="182" t="s">
        <v>514</v>
      </c>
      <c r="C6" s="181">
        <v>88561.111111111109</v>
      </c>
      <c r="D6" s="181">
        <v>2326391.6666666665</v>
      </c>
      <c r="E6" s="181">
        <v>2348469.4444444445</v>
      </c>
      <c r="F6" s="181">
        <v>264338.88888888888</v>
      </c>
      <c r="G6" s="181">
        <v>28511.111111111109</v>
      </c>
      <c r="H6" s="181">
        <v>628386.11111111112</v>
      </c>
      <c r="I6" s="181">
        <v>272316.66666666669</v>
      </c>
      <c r="J6" s="181">
        <v>63638.888888888891</v>
      </c>
      <c r="K6" s="181">
        <v>1137911.111111111</v>
      </c>
      <c r="L6" s="181">
        <v>514130.55555555556</v>
      </c>
      <c r="M6" s="181">
        <v>269744.44444444444</v>
      </c>
      <c r="N6" s="181">
        <v>47966.666666666664</v>
      </c>
      <c r="O6" s="181">
        <v>420180.55555555556</v>
      </c>
    </row>
    <row r="7" spans="1:15" hidden="1" x14ac:dyDescent="0.3">
      <c r="B7" s="182" t="s">
        <v>515</v>
      </c>
      <c r="C7" s="181">
        <v>47897.222222222219</v>
      </c>
      <c r="D7" s="181">
        <v>91075</v>
      </c>
      <c r="E7" s="181">
        <v>269230.55555555556</v>
      </c>
      <c r="F7" s="181">
        <v>77844.444444444438</v>
      </c>
      <c r="G7" s="181">
        <v>12088.888888888889</v>
      </c>
      <c r="H7" s="181">
        <v>121627.77777777778</v>
      </c>
      <c r="I7" s="181">
        <v>73086.111111111109</v>
      </c>
      <c r="J7" s="181">
        <v>28130.555555555555</v>
      </c>
      <c r="K7" s="181">
        <v>95611.111111111109</v>
      </c>
      <c r="L7" s="181">
        <v>45977.777777777781</v>
      </c>
      <c r="M7" s="181">
        <v>43688.888888888891</v>
      </c>
      <c r="N7" s="181">
        <v>12955.555555555555</v>
      </c>
      <c r="O7" s="181">
        <v>71716.666666666672</v>
      </c>
    </row>
    <row r="8" spans="1:15" hidden="1" x14ac:dyDescent="0.3">
      <c r="B8" s="182" t="s">
        <v>516</v>
      </c>
      <c r="C8" s="181">
        <v>29005.555555555555</v>
      </c>
      <c r="D8" s="181">
        <v>1817169.4444444445</v>
      </c>
      <c r="E8" s="181">
        <v>2328883.3333333335</v>
      </c>
      <c r="F8" s="181">
        <v>296255.55555555556</v>
      </c>
      <c r="G8" s="181">
        <v>24369.444444444445</v>
      </c>
      <c r="H8" s="181">
        <v>542272.22222222225</v>
      </c>
      <c r="I8" s="181">
        <v>225616.66666666666</v>
      </c>
      <c r="J8" s="181">
        <v>124500</v>
      </c>
      <c r="K8" s="181">
        <v>632727.77777777775</v>
      </c>
      <c r="L8" s="181">
        <v>341730.55555555556</v>
      </c>
      <c r="M8" s="181">
        <v>55225</v>
      </c>
      <c r="N8" s="181">
        <v>113711.11111111111</v>
      </c>
      <c r="O8" s="181">
        <v>218247.22222222222</v>
      </c>
    </row>
    <row r="9" spans="1:15" hidden="1" x14ac:dyDescent="0.3">
      <c r="B9" s="182" t="s">
        <v>517</v>
      </c>
      <c r="C9" s="181">
        <v>0</v>
      </c>
      <c r="D9" s="181">
        <v>694291.66666666663</v>
      </c>
      <c r="E9" s="181">
        <v>526411.11111111112</v>
      </c>
      <c r="F9" s="181">
        <v>0</v>
      </c>
      <c r="G9" s="181">
        <v>0</v>
      </c>
      <c r="H9" s="181">
        <v>263205.55555555556</v>
      </c>
      <c r="I9" s="181">
        <v>0</v>
      </c>
      <c r="J9" s="181">
        <v>0</v>
      </c>
      <c r="K9" s="181">
        <v>0</v>
      </c>
      <c r="L9" s="181">
        <v>0</v>
      </c>
      <c r="M9" s="181">
        <v>0</v>
      </c>
      <c r="N9" s="181">
        <v>0</v>
      </c>
      <c r="O9" s="181">
        <v>0</v>
      </c>
    </row>
    <row r="10" spans="1:15" hidden="1" x14ac:dyDescent="0.3">
      <c r="B10" s="182" t="s">
        <v>168</v>
      </c>
      <c r="C10" s="181">
        <v>16633.333333333332</v>
      </c>
      <c r="D10" s="181">
        <v>1111300</v>
      </c>
      <c r="E10" s="181">
        <v>242766.66666666666</v>
      </c>
      <c r="F10" s="181">
        <v>204141.66666666666</v>
      </c>
      <c r="G10" s="181">
        <v>21769.444444444445</v>
      </c>
      <c r="H10" s="181">
        <v>400194.44444444444</v>
      </c>
      <c r="I10" s="181">
        <v>32991.666666666664</v>
      </c>
      <c r="J10" s="181">
        <v>30672.222222222223</v>
      </c>
      <c r="K10" s="181">
        <v>602627.77777777775</v>
      </c>
      <c r="L10" s="181">
        <v>72625</v>
      </c>
      <c r="M10" s="181">
        <v>116488.88888888889</v>
      </c>
      <c r="N10" s="181">
        <v>19363.888888888891</v>
      </c>
      <c r="O10" s="181">
        <v>146100.00000000003</v>
      </c>
    </row>
    <row r="11" spans="1:15" hidden="1" x14ac:dyDescent="0.3">
      <c r="B11" s="182" t="s">
        <v>511</v>
      </c>
      <c r="C11" s="181">
        <v>0</v>
      </c>
      <c r="D11" s="181">
        <v>536961.11111111112</v>
      </c>
      <c r="E11" s="181">
        <v>349536.11111111112</v>
      </c>
      <c r="F11" s="181">
        <v>75</v>
      </c>
      <c r="G11" s="181">
        <v>0</v>
      </c>
      <c r="H11" s="181">
        <v>30922.222222222223</v>
      </c>
      <c r="I11" s="181">
        <v>475</v>
      </c>
      <c r="J11" s="181">
        <v>0</v>
      </c>
      <c r="K11" s="181">
        <v>1027.7777777777778</v>
      </c>
      <c r="L11" s="181">
        <v>11.111111111111111</v>
      </c>
      <c r="M11" s="181">
        <v>0</v>
      </c>
      <c r="N11" s="181">
        <v>0</v>
      </c>
      <c r="O11" s="181">
        <v>0</v>
      </c>
    </row>
    <row r="12" spans="1:15" hidden="1" x14ac:dyDescent="0.3">
      <c r="B12" s="182" t="s">
        <v>518</v>
      </c>
      <c r="C12" s="181">
        <v>0</v>
      </c>
      <c r="D12" s="181">
        <v>370891.66666666669</v>
      </c>
      <c r="E12" s="181">
        <v>273372.22222222225</v>
      </c>
      <c r="F12" s="181">
        <v>0</v>
      </c>
      <c r="G12" s="181">
        <v>0</v>
      </c>
      <c r="H12" s="181">
        <v>0</v>
      </c>
      <c r="I12" s="181">
        <v>0</v>
      </c>
      <c r="J12" s="181">
        <v>0</v>
      </c>
      <c r="K12" s="181">
        <v>0</v>
      </c>
      <c r="L12" s="181">
        <v>0</v>
      </c>
      <c r="M12" s="181">
        <v>0</v>
      </c>
      <c r="N12" s="181">
        <v>0</v>
      </c>
      <c r="O12" s="181">
        <v>0</v>
      </c>
    </row>
    <row r="13" spans="1:15" hidden="1" x14ac:dyDescent="0.3">
      <c r="B13" s="182" t="s">
        <v>519</v>
      </c>
      <c r="C13" s="181">
        <v>0</v>
      </c>
      <c r="D13" s="181">
        <v>7797.2222222222217</v>
      </c>
      <c r="E13" s="181">
        <v>0</v>
      </c>
      <c r="F13" s="181">
        <v>0</v>
      </c>
      <c r="G13" s="181">
        <v>0</v>
      </c>
      <c r="H13" s="181">
        <v>0</v>
      </c>
      <c r="I13" s="181">
        <v>0</v>
      </c>
      <c r="J13" s="181">
        <v>0</v>
      </c>
      <c r="K13" s="181">
        <v>0</v>
      </c>
      <c r="L13" s="181">
        <v>0</v>
      </c>
      <c r="M13" s="181">
        <v>0</v>
      </c>
      <c r="N13" s="181">
        <v>0</v>
      </c>
      <c r="O13" s="181">
        <v>0</v>
      </c>
    </row>
    <row r="14" spans="1:15" hidden="1" x14ac:dyDescent="0.3">
      <c r="B14" s="182" t="s">
        <v>95</v>
      </c>
      <c r="C14" s="181">
        <v>0</v>
      </c>
      <c r="D14" s="181">
        <v>0</v>
      </c>
      <c r="E14" s="181">
        <v>0</v>
      </c>
      <c r="F14" s="181">
        <v>0</v>
      </c>
      <c r="G14" s="181">
        <v>0</v>
      </c>
      <c r="H14" s="181">
        <v>0</v>
      </c>
      <c r="I14" s="181">
        <v>0</v>
      </c>
      <c r="J14" s="181">
        <v>0</v>
      </c>
      <c r="K14" s="181">
        <v>0</v>
      </c>
      <c r="L14" s="181">
        <v>0</v>
      </c>
      <c r="M14" s="181">
        <v>0</v>
      </c>
      <c r="N14" s="181">
        <v>0</v>
      </c>
      <c r="O14" s="181">
        <v>0</v>
      </c>
    </row>
    <row r="15" spans="1:15" hidden="1" x14ac:dyDescent="0.3">
      <c r="B15" s="182" t="s">
        <v>520</v>
      </c>
      <c r="C15" s="181">
        <v>0</v>
      </c>
      <c r="D15" s="181">
        <v>0</v>
      </c>
      <c r="E15" s="181">
        <v>0</v>
      </c>
      <c r="F15" s="181">
        <v>0</v>
      </c>
      <c r="G15" s="181">
        <v>0</v>
      </c>
      <c r="H15" s="181">
        <v>0</v>
      </c>
      <c r="I15" s="181">
        <v>0</v>
      </c>
      <c r="J15" s="181">
        <v>0</v>
      </c>
      <c r="K15" s="181">
        <v>0</v>
      </c>
      <c r="L15" s="181">
        <v>0</v>
      </c>
      <c r="M15" s="181">
        <v>0</v>
      </c>
      <c r="N15" s="181">
        <v>0</v>
      </c>
      <c r="O15" s="181">
        <v>0</v>
      </c>
    </row>
    <row r="16" spans="1:15" hidden="1" x14ac:dyDescent="0.3">
      <c r="B16" s="182" t="s">
        <v>21</v>
      </c>
      <c r="C16" s="181">
        <v>0</v>
      </c>
      <c r="D16" s="181">
        <v>56830.555555555555</v>
      </c>
      <c r="E16" s="181">
        <v>0</v>
      </c>
      <c r="F16" s="181">
        <v>0</v>
      </c>
      <c r="G16" s="181">
        <v>0</v>
      </c>
      <c r="H16" s="181">
        <v>22238.888888888891</v>
      </c>
      <c r="I16" s="181">
        <v>0</v>
      </c>
      <c r="J16" s="181">
        <v>0</v>
      </c>
      <c r="K16" s="181">
        <v>43808.333333333336</v>
      </c>
      <c r="L16" s="181">
        <v>21808.333333333332</v>
      </c>
      <c r="M16" s="181">
        <v>0</v>
      </c>
      <c r="N16" s="181">
        <v>19136.111111111109</v>
      </c>
      <c r="O16" s="181">
        <v>1253950</v>
      </c>
    </row>
    <row r="17" spans="1:15" hidden="1" x14ac:dyDescent="0.3">
      <c r="B17" s="182" t="s">
        <v>521</v>
      </c>
      <c r="C17" s="181">
        <v>0</v>
      </c>
      <c r="D17" s="181">
        <v>0</v>
      </c>
      <c r="E17" s="181">
        <v>0</v>
      </c>
      <c r="F17" s="181">
        <v>0</v>
      </c>
      <c r="G17" s="181">
        <v>0</v>
      </c>
      <c r="H17" s="181">
        <v>0</v>
      </c>
      <c r="I17" s="181">
        <v>0</v>
      </c>
      <c r="J17" s="181">
        <v>0</v>
      </c>
      <c r="K17" s="181">
        <v>0</v>
      </c>
      <c r="L17" s="181">
        <v>0</v>
      </c>
      <c r="M17" s="181">
        <v>0</v>
      </c>
      <c r="N17" s="181">
        <v>0</v>
      </c>
      <c r="O17" s="181">
        <v>0</v>
      </c>
    </row>
    <row r="18" spans="1:15" hidden="1" x14ac:dyDescent="0.3"/>
    <row r="19" spans="1:15" x14ac:dyDescent="0.3">
      <c r="A19" s="178" t="s">
        <v>522</v>
      </c>
      <c r="B19" s="182" t="s">
        <v>513</v>
      </c>
      <c r="C19" s="181">
        <v>0</v>
      </c>
      <c r="D19" s="181">
        <v>0</v>
      </c>
      <c r="E19" s="181">
        <v>0</v>
      </c>
      <c r="F19" s="181">
        <v>15858.333333333334</v>
      </c>
      <c r="G19" s="181">
        <v>0</v>
      </c>
      <c r="H19" s="181">
        <v>400</v>
      </c>
      <c r="I19" s="181">
        <v>166.66666666666666</v>
      </c>
      <c r="J19" s="181">
        <v>0</v>
      </c>
      <c r="K19" s="181">
        <v>0</v>
      </c>
      <c r="L19" s="181">
        <v>0</v>
      </c>
      <c r="M19" s="181">
        <v>13.888888888888889</v>
      </c>
      <c r="N19" s="181">
        <v>0</v>
      </c>
      <c r="O19" s="181">
        <v>0</v>
      </c>
    </row>
    <row r="20" spans="1:15" x14ac:dyDescent="0.3">
      <c r="B20" s="182" t="s">
        <v>143</v>
      </c>
      <c r="C20" s="181">
        <v>21788.888888888891</v>
      </c>
      <c r="D20" s="181">
        <v>6291316.666666667</v>
      </c>
      <c r="E20" s="181">
        <v>3200219.4444444445</v>
      </c>
      <c r="F20" s="181">
        <v>345730.55555555556</v>
      </c>
      <c r="G20" s="181">
        <v>29050</v>
      </c>
      <c r="H20" s="181">
        <v>5548369.444444444</v>
      </c>
      <c r="I20" s="181">
        <v>325050</v>
      </c>
      <c r="J20" s="181">
        <v>181630.55555555556</v>
      </c>
      <c r="K20" s="181">
        <v>4551300</v>
      </c>
      <c r="L20" s="181">
        <v>447433.33333333331</v>
      </c>
      <c r="M20" s="181">
        <v>166186.11111111112</v>
      </c>
      <c r="N20" s="181">
        <v>37533.333333333336</v>
      </c>
      <c r="O20" s="181">
        <v>155175</v>
      </c>
    </row>
    <row r="21" spans="1:15" x14ac:dyDescent="0.3">
      <c r="B21" s="182" t="s">
        <v>514</v>
      </c>
      <c r="C21" s="181">
        <v>88561.111111111109</v>
      </c>
      <c r="D21" s="181">
        <v>2326391.6666666665</v>
      </c>
      <c r="E21" s="181">
        <v>2348469.4444444445</v>
      </c>
      <c r="F21" s="181">
        <v>264338.88888888888</v>
      </c>
      <c r="G21" s="181">
        <v>28511.111111111109</v>
      </c>
      <c r="H21" s="181">
        <v>628386.11111111112</v>
      </c>
      <c r="I21" s="181">
        <v>272316.66666666669</v>
      </c>
      <c r="J21" s="181">
        <v>63638.888888888891</v>
      </c>
      <c r="K21" s="181">
        <v>1137911.111111111</v>
      </c>
      <c r="L21" s="181">
        <v>514130.55555555556</v>
      </c>
      <c r="M21" s="181">
        <v>269744.44444444444</v>
      </c>
      <c r="N21" s="181">
        <v>24083.333333333332</v>
      </c>
      <c r="O21" s="181">
        <v>420180.55555555556</v>
      </c>
    </row>
    <row r="22" spans="1:15" x14ac:dyDescent="0.3">
      <c r="B22" s="182" t="s">
        <v>515</v>
      </c>
      <c r="C22" s="181">
        <v>47897.222222222219</v>
      </c>
      <c r="D22" s="181">
        <v>91075</v>
      </c>
      <c r="E22" s="181">
        <v>269230.55555555556</v>
      </c>
      <c r="F22" s="181">
        <v>77844.444444444438</v>
      </c>
      <c r="G22" s="181">
        <v>12088.888888888889</v>
      </c>
      <c r="H22" s="181">
        <v>121627.77777777778</v>
      </c>
      <c r="I22" s="181">
        <v>73086.111111111109</v>
      </c>
      <c r="J22" s="181">
        <v>28130.555555555555</v>
      </c>
      <c r="K22" s="181">
        <v>95611.111111111109</v>
      </c>
      <c r="L22" s="181">
        <v>45977.777777777781</v>
      </c>
      <c r="M22" s="181">
        <v>43688.888888888891</v>
      </c>
      <c r="N22" s="181">
        <v>12955.555555555555</v>
      </c>
      <c r="O22" s="181">
        <v>71716.666666666672</v>
      </c>
    </row>
    <row r="23" spans="1:15" x14ac:dyDescent="0.3">
      <c r="B23" s="182" t="s">
        <v>516</v>
      </c>
      <c r="C23" s="181">
        <v>29005.555555555555</v>
      </c>
      <c r="D23" s="181">
        <v>1817169.4444444445</v>
      </c>
      <c r="E23" s="181">
        <v>2328883.3333333335</v>
      </c>
      <c r="F23" s="181">
        <v>296255.55555555556</v>
      </c>
      <c r="G23" s="181">
        <v>24369.444444444445</v>
      </c>
      <c r="H23" s="181">
        <v>542272.22222222225</v>
      </c>
      <c r="I23" s="181">
        <v>225616.66666666666</v>
      </c>
      <c r="J23" s="181">
        <v>124500</v>
      </c>
      <c r="K23" s="181">
        <v>632727.77777777775</v>
      </c>
      <c r="L23" s="181">
        <v>341730.55555555556</v>
      </c>
      <c r="M23" s="181">
        <v>55225</v>
      </c>
      <c r="N23" s="181">
        <v>113711.11111111111</v>
      </c>
      <c r="O23" s="181">
        <v>218247.22222222222</v>
      </c>
    </row>
    <row r="24" spans="1:15" x14ac:dyDescent="0.3">
      <c r="B24" s="182" t="s">
        <v>517</v>
      </c>
      <c r="C24" s="181">
        <v>0</v>
      </c>
      <c r="D24" s="181">
        <v>694291.66666666663</v>
      </c>
      <c r="E24" s="181">
        <v>526411.11111111112</v>
      </c>
      <c r="F24" s="181">
        <v>0</v>
      </c>
      <c r="G24" s="181">
        <v>0</v>
      </c>
      <c r="H24" s="181">
        <v>263205.55555555556</v>
      </c>
      <c r="I24" s="181">
        <v>0</v>
      </c>
      <c r="J24" s="181">
        <v>0</v>
      </c>
      <c r="K24" s="181">
        <v>0</v>
      </c>
      <c r="L24" s="181">
        <v>0</v>
      </c>
      <c r="M24" s="181">
        <v>0</v>
      </c>
      <c r="N24" s="181">
        <v>0</v>
      </c>
      <c r="O24" s="181">
        <v>0</v>
      </c>
    </row>
    <row r="25" spans="1:15" x14ac:dyDescent="0.3">
      <c r="B25" s="182" t="s">
        <v>168</v>
      </c>
      <c r="C25" s="181">
        <v>17333.333333333332</v>
      </c>
      <c r="D25" s="181">
        <v>1050097.2222222222</v>
      </c>
      <c r="E25" s="181">
        <v>209547.22222222222</v>
      </c>
      <c r="F25" s="181">
        <v>29280.555555555555</v>
      </c>
      <c r="G25" s="181">
        <v>15622.222222222223</v>
      </c>
      <c r="H25" s="181">
        <v>318902.77777777775</v>
      </c>
      <c r="I25" s="181">
        <v>85413.888888888891</v>
      </c>
      <c r="J25" s="181">
        <v>32661.111111111109</v>
      </c>
      <c r="K25" s="181">
        <v>371638.88888888888</v>
      </c>
      <c r="L25" s="181">
        <v>68077.777777777781</v>
      </c>
      <c r="M25" s="181">
        <v>103811.11111111111</v>
      </c>
      <c r="N25" s="181">
        <v>18527.777777777777</v>
      </c>
      <c r="O25" s="181">
        <v>146574.99999999997</v>
      </c>
    </row>
    <row r="26" spans="1:15" x14ac:dyDescent="0.3">
      <c r="B26" s="182" t="s">
        <v>511</v>
      </c>
      <c r="C26" s="181">
        <v>0</v>
      </c>
      <c r="D26" s="181">
        <v>522341.66666666669</v>
      </c>
      <c r="E26" s="181">
        <v>316616.66666666669</v>
      </c>
      <c r="F26" s="181">
        <v>75</v>
      </c>
      <c r="G26" s="181">
        <v>0</v>
      </c>
      <c r="H26" s="181">
        <v>31280.555555555555</v>
      </c>
      <c r="I26" s="181">
        <v>475</v>
      </c>
      <c r="J26" s="181">
        <v>0</v>
      </c>
      <c r="K26" s="181">
        <v>23536.111111111109</v>
      </c>
      <c r="L26" s="181">
        <v>13.888888888888889</v>
      </c>
      <c r="M26" s="181">
        <v>0</v>
      </c>
      <c r="N26" s="181">
        <v>0</v>
      </c>
      <c r="O26" s="181">
        <v>0</v>
      </c>
    </row>
    <row r="27" spans="1:15" x14ac:dyDescent="0.3">
      <c r="B27" s="182" t="s">
        <v>518</v>
      </c>
      <c r="C27" s="181">
        <v>0</v>
      </c>
      <c r="D27" s="181">
        <v>363849.99999999994</v>
      </c>
      <c r="E27" s="181">
        <v>247950</v>
      </c>
      <c r="F27" s="181">
        <v>0</v>
      </c>
      <c r="G27" s="181">
        <v>0</v>
      </c>
      <c r="H27" s="181">
        <v>0</v>
      </c>
      <c r="I27" s="181">
        <v>0</v>
      </c>
      <c r="J27" s="181">
        <v>0</v>
      </c>
      <c r="K27" s="181">
        <v>0</v>
      </c>
      <c r="L27" s="181">
        <v>0</v>
      </c>
      <c r="M27" s="181">
        <v>0</v>
      </c>
      <c r="N27" s="181">
        <v>0</v>
      </c>
      <c r="O27" s="181">
        <v>0</v>
      </c>
    </row>
    <row r="28" spans="1:15" x14ac:dyDescent="0.3">
      <c r="B28" s="182" t="s">
        <v>519</v>
      </c>
      <c r="C28" s="181">
        <v>0</v>
      </c>
      <c r="D28" s="181">
        <v>7213.8888888888887</v>
      </c>
      <c r="E28" s="181">
        <v>0</v>
      </c>
      <c r="F28" s="181">
        <v>0</v>
      </c>
      <c r="G28" s="181">
        <v>0</v>
      </c>
      <c r="H28" s="181">
        <v>0</v>
      </c>
      <c r="I28" s="181">
        <v>0</v>
      </c>
      <c r="J28" s="181">
        <v>0</v>
      </c>
      <c r="K28" s="181">
        <v>0</v>
      </c>
      <c r="L28" s="181">
        <v>0</v>
      </c>
      <c r="M28" s="181">
        <v>0</v>
      </c>
      <c r="N28" s="181">
        <v>0</v>
      </c>
      <c r="O28" s="181">
        <v>0</v>
      </c>
    </row>
    <row r="29" spans="1:15" x14ac:dyDescent="0.3">
      <c r="B29" s="182" t="s">
        <v>95</v>
      </c>
      <c r="C29" s="181">
        <v>0</v>
      </c>
      <c r="D29" s="181">
        <v>0</v>
      </c>
      <c r="E29" s="181">
        <v>0</v>
      </c>
      <c r="F29" s="181">
        <v>0</v>
      </c>
      <c r="G29" s="181">
        <v>0</v>
      </c>
      <c r="H29" s="181">
        <v>0</v>
      </c>
      <c r="I29" s="181">
        <v>0</v>
      </c>
      <c r="J29" s="181">
        <v>0</v>
      </c>
      <c r="K29" s="181">
        <v>0</v>
      </c>
      <c r="L29" s="181">
        <v>0</v>
      </c>
      <c r="M29" s="181">
        <v>0</v>
      </c>
      <c r="N29" s="181">
        <v>0</v>
      </c>
      <c r="O29" s="181">
        <v>0</v>
      </c>
    </row>
    <row r="30" spans="1:15" x14ac:dyDescent="0.3">
      <c r="B30" s="182" t="s">
        <v>520</v>
      </c>
      <c r="C30" s="181">
        <v>0</v>
      </c>
      <c r="D30" s="181">
        <v>0</v>
      </c>
      <c r="E30" s="181">
        <v>0</v>
      </c>
      <c r="F30" s="181">
        <v>0</v>
      </c>
      <c r="G30" s="181">
        <v>0</v>
      </c>
      <c r="H30" s="181">
        <v>0</v>
      </c>
      <c r="I30" s="181">
        <v>0</v>
      </c>
      <c r="J30" s="181">
        <v>0</v>
      </c>
      <c r="K30" s="181">
        <v>0</v>
      </c>
      <c r="L30" s="181">
        <v>0</v>
      </c>
      <c r="M30" s="181">
        <v>0</v>
      </c>
      <c r="N30" s="181">
        <v>0</v>
      </c>
      <c r="O30" s="181">
        <v>0</v>
      </c>
    </row>
    <row r="31" spans="1:15" x14ac:dyDescent="0.3">
      <c r="B31" s="182" t="s">
        <v>21</v>
      </c>
      <c r="C31" s="181">
        <v>0</v>
      </c>
      <c r="D31" s="181">
        <v>57044.444444444445</v>
      </c>
      <c r="E31" s="181">
        <v>0</v>
      </c>
      <c r="F31" s="181">
        <v>0</v>
      </c>
      <c r="G31" s="181">
        <v>0</v>
      </c>
      <c r="H31" s="181">
        <v>21830.555555555555</v>
      </c>
      <c r="I31" s="181">
        <v>0</v>
      </c>
      <c r="J31" s="181">
        <v>0</v>
      </c>
      <c r="K31" s="181">
        <v>43705.555555555555</v>
      </c>
      <c r="L31" s="181">
        <v>21819.444444444445</v>
      </c>
      <c r="M31" s="181">
        <v>0</v>
      </c>
      <c r="N31" s="181">
        <v>19133.333333333332</v>
      </c>
      <c r="O31" s="181">
        <v>1255050</v>
      </c>
    </row>
    <row r="32" spans="1:15" x14ac:dyDescent="0.3">
      <c r="B32" s="182" t="s">
        <v>521</v>
      </c>
      <c r="C32" s="181">
        <v>0</v>
      </c>
      <c r="D32" s="181">
        <v>0</v>
      </c>
      <c r="E32" s="181">
        <v>0</v>
      </c>
      <c r="F32" s="181">
        <v>0</v>
      </c>
      <c r="G32" s="181">
        <v>0</v>
      </c>
      <c r="H32" s="181">
        <v>0</v>
      </c>
      <c r="I32" s="181">
        <v>0</v>
      </c>
      <c r="J32" s="181">
        <v>0</v>
      </c>
      <c r="K32" s="181">
        <v>0</v>
      </c>
      <c r="L32" s="181">
        <v>0</v>
      </c>
      <c r="M32" s="181">
        <v>0</v>
      </c>
      <c r="N32" s="181">
        <v>0</v>
      </c>
      <c r="O32" s="181">
        <v>0</v>
      </c>
    </row>
    <row r="36" spans="1:15" x14ac:dyDescent="0.3">
      <c r="A36" s="178" t="s">
        <v>524</v>
      </c>
      <c r="B36" s="188" t="s">
        <v>628</v>
      </c>
      <c r="C36" s="189"/>
    </row>
    <row r="37" spans="1:15" x14ac:dyDescent="0.3">
      <c r="B37" s="183"/>
      <c r="C37" s="188" t="s">
        <v>512</v>
      </c>
      <c r="D37" s="186"/>
      <c r="E37" s="186"/>
      <c r="F37" s="186"/>
      <c r="G37" s="186"/>
      <c r="H37" s="186"/>
      <c r="I37" s="181"/>
      <c r="J37" s="181"/>
      <c r="K37" s="181"/>
      <c r="L37" s="187"/>
      <c r="M37" s="186"/>
      <c r="N37" s="185"/>
      <c r="O37" s="184"/>
    </row>
    <row r="38" spans="1:15" x14ac:dyDescent="0.3">
      <c r="B38" s="183"/>
      <c r="C38" s="182" t="s">
        <v>513</v>
      </c>
      <c r="D38" s="181">
        <v>0</v>
      </c>
      <c r="E38" s="181">
        <v>0</v>
      </c>
      <c r="F38" s="181">
        <v>4102.7777777777774</v>
      </c>
      <c r="G38" s="181">
        <v>0</v>
      </c>
      <c r="H38" s="181">
        <v>13.888888888888889</v>
      </c>
      <c r="I38" s="181">
        <v>0</v>
      </c>
      <c r="J38" s="181">
        <v>0</v>
      </c>
      <c r="K38" s="181">
        <v>0</v>
      </c>
      <c r="L38" s="181">
        <v>0</v>
      </c>
      <c r="M38" s="181">
        <v>13.888888888888889</v>
      </c>
      <c r="N38" s="181">
        <v>0</v>
      </c>
      <c r="O38" s="181">
        <v>0</v>
      </c>
    </row>
    <row r="39" spans="1:15" x14ac:dyDescent="0.3">
      <c r="B39" s="183"/>
      <c r="C39" s="182" t="s">
        <v>143</v>
      </c>
      <c r="D39" s="181">
        <v>4772450</v>
      </c>
      <c r="E39" s="181">
        <v>2737244.4444444445</v>
      </c>
      <c r="F39" s="181">
        <v>234680.55555555556</v>
      </c>
      <c r="G39" s="181">
        <v>19244.444444444445</v>
      </c>
      <c r="H39" s="181">
        <v>2473577.777777778</v>
      </c>
      <c r="I39" s="181">
        <v>226927.77777777778</v>
      </c>
      <c r="J39" s="181">
        <v>101216.66666666667</v>
      </c>
      <c r="K39" s="181">
        <v>3335219.4444444445</v>
      </c>
      <c r="L39" s="181">
        <v>343791.66666666669</v>
      </c>
      <c r="M39" s="181">
        <v>122847.22222222222</v>
      </c>
      <c r="N39" s="181">
        <v>33450</v>
      </c>
      <c r="O39" s="181">
        <v>103819.44444444444</v>
      </c>
    </row>
    <row r="40" spans="1:15" x14ac:dyDescent="0.3">
      <c r="B40" s="183"/>
      <c r="C40" s="182" t="s">
        <v>514</v>
      </c>
      <c r="D40" s="181">
        <v>1156866.6666666667</v>
      </c>
      <c r="E40" s="181">
        <v>1565647.2222222222</v>
      </c>
      <c r="F40" s="181">
        <v>168400</v>
      </c>
      <c r="G40" s="181">
        <v>15747.222222222223</v>
      </c>
      <c r="H40" s="181">
        <v>403711.11111111112</v>
      </c>
      <c r="I40" s="181">
        <v>174538.88888888888</v>
      </c>
      <c r="J40" s="181">
        <v>48194.444444444445</v>
      </c>
      <c r="K40" s="181">
        <v>939483.33333333337</v>
      </c>
      <c r="L40" s="181">
        <v>342513.88888888888</v>
      </c>
      <c r="M40" s="181">
        <v>138966.66666666666</v>
      </c>
      <c r="N40" s="181">
        <v>26644.444444444445</v>
      </c>
      <c r="O40" s="181">
        <v>259377.77777777778</v>
      </c>
    </row>
    <row r="41" spans="1:15" x14ac:dyDescent="0.3">
      <c r="B41" s="183"/>
      <c r="C41" s="182" t="s">
        <v>515</v>
      </c>
      <c r="D41" s="181">
        <v>67375</v>
      </c>
      <c r="E41" s="181">
        <v>224066.66666666666</v>
      </c>
      <c r="F41" s="181">
        <v>64708.333333333336</v>
      </c>
      <c r="G41" s="181">
        <v>10066.666666666666</v>
      </c>
      <c r="H41" s="181">
        <v>73227.777777777781</v>
      </c>
      <c r="I41" s="181">
        <v>32950</v>
      </c>
      <c r="J41" s="181">
        <v>23416.666666666668</v>
      </c>
      <c r="K41" s="181">
        <v>78358.333333333328</v>
      </c>
      <c r="L41" s="181">
        <v>37480.555555555555</v>
      </c>
      <c r="M41" s="181">
        <v>36130.555555555555</v>
      </c>
      <c r="N41" s="181">
        <v>11058.333333333334</v>
      </c>
      <c r="O41" s="181">
        <v>59366.666666666664</v>
      </c>
    </row>
    <row r="42" spans="1:15" x14ac:dyDescent="0.3">
      <c r="B42" s="183"/>
      <c r="C42" s="182" t="s">
        <v>516</v>
      </c>
      <c r="D42" s="181">
        <v>1817169.4444444445</v>
      </c>
      <c r="E42" s="181">
        <v>2328883.3333333335</v>
      </c>
      <c r="F42" s="181">
        <v>296255.55555555556</v>
      </c>
      <c r="G42" s="181">
        <v>24369.444444444445</v>
      </c>
      <c r="H42" s="181">
        <v>542272.22222222225</v>
      </c>
      <c r="I42" s="181">
        <v>225616.66666666666</v>
      </c>
      <c r="J42" s="181">
        <v>124500</v>
      </c>
      <c r="K42" s="181">
        <v>632727.77777777775</v>
      </c>
      <c r="L42" s="181">
        <v>341730.55555555556</v>
      </c>
      <c r="M42" s="181">
        <v>55225</v>
      </c>
      <c r="N42" s="181">
        <v>113711.11111111111</v>
      </c>
      <c r="O42" s="181">
        <v>218247.22222222222</v>
      </c>
    </row>
    <row r="43" spans="1:15" x14ac:dyDescent="0.3">
      <c r="B43" s="183"/>
      <c r="C43" s="182" t="s">
        <v>517</v>
      </c>
      <c r="D43" s="181">
        <v>694291.66666666663</v>
      </c>
      <c r="E43" s="181">
        <v>526411.11111111112</v>
      </c>
      <c r="F43" s="181">
        <v>0</v>
      </c>
      <c r="G43" s="181">
        <v>0</v>
      </c>
      <c r="H43" s="181">
        <v>263205.55555555556</v>
      </c>
      <c r="I43" s="181">
        <v>0</v>
      </c>
      <c r="J43" s="181">
        <v>0</v>
      </c>
      <c r="K43" s="181">
        <v>0</v>
      </c>
      <c r="L43" s="181">
        <v>0</v>
      </c>
      <c r="M43" s="181">
        <v>0</v>
      </c>
      <c r="N43" s="181">
        <v>0</v>
      </c>
      <c r="O43" s="181">
        <v>0</v>
      </c>
    </row>
    <row r="44" spans="1:15" x14ac:dyDescent="0.3">
      <c r="B44" s="183"/>
      <c r="C44" s="182" t="s">
        <v>168</v>
      </c>
      <c r="D44" s="181">
        <v>913508.33333333337</v>
      </c>
      <c r="E44" s="181">
        <v>186461.11111111112</v>
      </c>
      <c r="F44" s="181">
        <v>23405.555555555555</v>
      </c>
      <c r="G44" s="181">
        <v>12083.333333333334</v>
      </c>
      <c r="H44" s="181">
        <v>309716.66666666669</v>
      </c>
      <c r="I44" s="181">
        <v>66786.111111111109</v>
      </c>
      <c r="J44" s="181">
        <v>21072.222222222223</v>
      </c>
      <c r="K44" s="181">
        <v>339963.88888888888</v>
      </c>
      <c r="L44" s="181">
        <v>57466.666666666664</v>
      </c>
      <c r="M44" s="181">
        <v>80744.444444444438</v>
      </c>
      <c r="N44" s="181">
        <v>16036.111111111111</v>
      </c>
      <c r="O44" s="181">
        <v>108875</v>
      </c>
    </row>
    <row r="45" spans="1:15" x14ac:dyDescent="0.3">
      <c r="B45" s="183"/>
      <c r="C45" s="182" t="s">
        <v>511</v>
      </c>
      <c r="D45" s="181">
        <v>459938.88888888888</v>
      </c>
      <c r="E45" s="181">
        <v>284602.77777777775</v>
      </c>
      <c r="F45" s="181">
        <v>75</v>
      </c>
      <c r="G45" s="181">
        <v>0</v>
      </c>
      <c r="H45" s="181">
        <v>27263.888888888891</v>
      </c>
      <c r="I45" s="181">
        <v>475</v>
      </c>
      <c r="J45" s="181">
        <v>0</v>
      </c>
      <c r="K45" s="181">
        <v>16827.777777777777</v>
      </c>
      <c r="L45" s="181">
        <v>2.7777777777777777</v>
      </c>
      <c r="M45" s="181">
        <v>0</v>
      </c>
      <c r="N45" s="181">
        <v>0</v>
      </c>
      <c r="O45" s="181">
        <v>0</v>
      </c>
    </row>
    <row r="46" spans="1:15" x14ac:dyDescent="0.3">
      <c r="B46" s="183"/>
      <c r="C46" s="182" t="s">
        <v>518</v>
      </c>
      <c r="D46" s="181">
        <v>317330.55555555556</v>
      </c>
      <c r="E46" s="181">
        <v>223216.66666666666</v>
      </c>
      <c r="F46" s="181">
        <v>0</v>
      </c>
      <c r="G46" s="181">
        <v>0</v>
      </c>
      <c r="H46" s="181">
        <v>0</v>
      </c>
      <c r="I46" s="181">
        <v>0</v>
      </c>
      <c r="J46" s="181">
        <v>0</v>
      </c>
      <c r="K46" s="181">
        <v>0</v>
      </c>
      <c r="L46" s="181">
        <v>0</v>
      </c>
      <c r="M46" s="181">
        <v>0</v>
      </c>
      <c r="N46" s="181">
        <v>0</v>
      </c>
      <c r="O46" s="181">
        <v>0</v>
      </c>
    </row>
    <row r="47" spans="1:15" x14ac:dyDescent="0.3">
      <c r="B47" s="183"/>
      <c r="C47" s="182" t="s">
        <v>519</v>
      </c>
      <c r="D47" s="181">
        <v>5886.1111111111113</v>
      </c>
      <c r="E47" s="181">
        <v>0</v>
      </c>
      <c r="F47" s="181">
        <v>0</v>
      </c>
      <c r="G47" s="181">
        <v>0</v>
      </c>
      <c r="H47" s="181">
        <v>0</v>
      </c>
      <c r="I47" s="181">
        <v>0</v>
      </c>
      <c r="J47" s="181">
        <v>0</v>
      </c>
      <c r="K47" s="181">
        <v>0</v>
      </c>
      <c r="L47" s="181">
        <v>0</v>
      </c>
      <c r="M47" s="181">
        <v>0</v>
      </c>
      <c r="N47" s="181">
        <v>0</v>
      </c>
      <c r="O47" s="181">
        <v>0</v>
      </c>
    </row>
    <row r="48" spans="1:15" x14ac:dyDescent="0.3">
      <c r="B48" s="183"/>
      <c r="C48" s="182" t="s">
        <v>95</v>
      </c>
      <c r="D48" s="181">
        <v>0</v>
      </c>
      <c r="E48" s="181">
        <v>0</v>
      </c>
      <c r="F48" s="181">
        <v>0</v>
      </c>
      <c r="G48" s="181">
        <v>0</v>
      </c>
      <c r="H48" s="181">
        <v>0</v>
      </c>
      <c r="I48" s="181">
        <v>0</v>
      </c>
      <c r="J48" s="181">
        <v>0</v>
      </c>
      <c r="K48" s="181">
        <v>0</v>
      </c>
      <c r="L48" s="181">
        <v>0</v>
      </c>
      <c r="M48" s="181">
        <v>0</v>
      </c>
      <c r="N48" s="181">
        <v>0</v>
      </c>
      <c r="O48" s="181">
        <v>0</v>
      </c>
    </row>
    <row r="49" spans="2:15" x14ac:dyDescent="0.3">
      <c r="B49" s="183"/>
      <c r="C49" s="182" t="s">
        <v>520</v>
      </c>
      <c r="D49" s="181">
        <v>0</v>
      </c>
      <c r="E49" s="181">
        <v>0</v>
      </c>
      <c r="F49" s="181">
        <v>0</v>
      </c>
      <c r="G49" s="181">
        <v>0</v>
      </c>
      <c r="H49" s="181">
        <v>0</v>
      </c>
      <c r="I49" s="181">
        <v>0</v>
      </c>
      <c r="J49" s="181">
        <v>0</v>
      </c>
      <c r="K49" s="181">
        <v>0</v>
      </c>
      <c r="L49" s="181">
        <v>0</v>
      </c>
      <c r="M49" s="181">
        <v>0</v>
      </c>
      <c r="N49" s="181">
        <v>0</v>
      </c>
      <c r="O49" s="181">
        <v>0</v>
      </c>
    </row>
    <row r="50" spans="2:15" x14ac:dyDescent="0.3">
      <c r="B50" s="183"/>
      <c r="C50" s="182" t="s">
        <v>21</v>
      </c>
      <c r="D50" s="181">
        <v>57080.555555555555</v>
      </c>
      <c r="E50" s="181">
        <v>0</v>
      </c>
      <c r="F50" s="181">
        <v>0</v>
      </c>
      <c r="G50" s="181">
        <v>0</v>
      </c>
      <c r="H50" s="181">
        <v>21802.777777777777</v>
      </c>
      <c r="I50" s="181">
        <v>0</v>
      </c>
      <c r="J50" s="181">
        <v>0</v>
      </c>
      <c r="K50" s="181">
        <v>43672.222222222219</v>
      </c>
      <c r="L50" s="181">
        <v>21841.666666666668</v>
      </c>
      <c r="M50" s="181">
        <v>0</v>
      </c>
      <c r="N50" s="181">
        <v>19200</v>
      </c>
      <c r="O50" s="181">
        <v>1246013.888888889</v>
      </c>
    </row>
    <row r="51" spans="2:15" x14ac:dyDescent="0.3">
      <c r="B51" s="183"/>
      <c r="C51" s="182" t="s">
        <v>521</v>
      </c>
      <c r="D51" s="181">
        <v>0</v>
      </c>
      <c r="E51" s="181">
        <v>0</v>
      </c>
      <c r="F51" s="181">
        <v>0</v>
      </c>
      <c r="G51" s="181">
        <v>0</v>
      </c>
      <c r="H51" s="181">
        <v>0</v>
      </c>
      <c r="I51" s="181">
        <v>0</v>
      </c>
      <c r="J51" s="181">
        <v>0</v>
      </c>
      <c r="K51" s="181">
        <v>0</v>
      </c>
      <c r="L51" s="181">
        <v>0</v>
      </c>
      <c r="M51" s="181">
        <v>0</v>
      </c>
      <c r="N51" s="181">
        <v>0</v>
      </c>
      <c r="O51" s="181">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A96D7-B48D-4F5F-A247-89FAE2387027}">
  <sheetPr codeName="Sheet6"/>
  <dimension ref="A1:AX91"/>
  <sheetViews>
    <sheetView showGridLines="0" zoomScaleNormal="100" workbookViewId="0"/>
  </sheetViews>
  <sheetFormatPr defaultRowHeight="14.4" x14ac:dyDescent="0.3"/>
  <cols>
    <col min="1" max="1" width="3" bestFit="1" customWidth="1"/>
    <col min="2" max="2" width="77.44140625" customWidth="1"/>
    <col min="3" max="3" width="43.5546875" customWidth="1"/>
    <col min="4" max="4" width="32.33203125" customWidth="1"/>
    <col min="5" max="5" width="25.5546875" customWidth="1"/>
    <col min="6" max="6" width="37.33203125" customWidth="1"/>
    <col min="7" max="9" width="18.33203125" hidden="1" customWidth="1"/>
    <col min="10" max="10" width="11" hidden="1" customWidth="1"/>
    <col min="11" max="28" width="7.5546875" hidden="1" customWidth="1"/>
    <col min="29" max="31" width="9" hidden="1" customWidth="1"/>
    <col min="32" max="32" width="17.109375" hidden="1" customWidth="1"/>
    <col min="33" max="33" width="20.33203125" customWidth="1"/>
    <col min="34" max="34" width="8.88671875" customWidth="1"/>
    <col min="35" max="35" width="8.88671875" hidden="1" customWidth="1"/>
    <col min="36" max="36" width="83.109375" hidden="1" customWidth="1"/>
    <col min="37" max="38" width="8.88671875" hidden="1" customWidth="1"/>
    <col min="39" max="39" width="68" hidden="1" customWidth="1"/>
    <col min="40" max="50" width="8.88671875" hidden="1" customWidth="1"/>
  </cols>
  <sheetData>
    <row r="1" spans="1:33" x14ac:dyDescent="0.3">
      <c r="B1" s="521" t="s">
        <v>981</v>
      </c>
      <c r="C1" s="521"/>
      <c r="D1" s="521"/>
      <c r="E1" s="521"/>
      <c r="F1" s="521"/>
      <c r="G1" s="521"/>
      <c r="H1" s="521"/>
      <c r="I1" s="521"/>
      <c r="AG1" s="17" t="s">
        <v>50</v>
      </c>
    </row>
    <row r="2" spans="1:33" x14ac:dyDescent="0.3">
      <c r="B2" s="521"/>
      <c r="C2" s="521"/>
      <c r="D2" s="521"/>
      <c r="E2" s="521"/>
      <c r="F2" s="521"/>
      <c r="G2" s="521"/>
      <c r="H2" s="521"/>
      <c r="I2" s="521"/>
      <c r="AG2" s="17" t="s">
        <v>49</v>
      </c>
    </row>
    <row r="3" spans="1:33" x14ac:dyDescent="0.3">
      <c r="AG3" s="17" t="s">
        <v>53</v>
      </c>
    </row>
    <row r="4" spans="1:33" x14ac:dyDescent="0.3">
      <c r="AG4" s="17" t="s">
        <v>51</v>
      </c>
    </row>
    <row r="5" spans="1:33" ht="15" thickBot="1" x14ac:dyDescent="0.35">
      <c r="A5" s="17"/>
      <c r="H5" t="s">
        <v>283</v>
      </c>
      <c r="AG5" s="17" t="s">
        <v>52</v>
      </c>
    </row>
    <row r="6" spans="1:33" ht="36.6" thickBot="1" x14ac:dyDescent="0.35">
      <c r="A6" s="17"/>
      <c r="B6" s="341" t="s">
        <v>1028</v>
      </c>
      <c r="D6" s="529" t="s">
        <v>1029</v>
      </c>
      <c r="E6" s="530"/>
      <c r="F6" s="531"/>
      <c r="H6">
        <v>2020</v>
      </c>
      <c r="I6">
        <f t="shared" ref="I6:AB6" si="0">H6+1</f>
        <v>2021</v>
      </c>
      <c r="J6">
        <f t="shared" si="0"/>
        <v>2022</v>
      </c>
      <c r="K6">
        <f t="shared" si="0"/>
        <v>2023</v>
      </c>
      <c r="L6">
        <f t="shared" si="0"/>
        <v>2024</v>
      </c>
      <c r="M6">
        <f t="shared" si="0"/>
        <v>2025</v>
      </c>
      <c r="N6">
        <f t="shared" si="0"/>
        <v>2026</v>
      </c>
      <c r="O6">
        <f t="shared" si="0"/>
        <v>2027</v>
      </c>
      <c r="P6">
        <f t="shared" si="0"/>
        <v>2028</v>
      </c>
      <c r="Q6">
        <f t="shared" si="0"/>
        <v>2029</v>
      </c>
      <c r="R6">
        <f t="shared" si="0"/>
        <v>2030</v>
      </c>
      <c r="S6">
        <f t="shared" si="0"/>
        <v>2031</v>
      </c>
      <c r="T6">
        <f t="shared" si="0"/>
        <v>2032</v>
      </c>
      <c r="U6">
        <f t="shared" si="0"/>
        <v>2033</v>
      </c>
      <c r="V6">
        <f t="shared" si="0"/>
        <v>2034</v>
      </c>
      <c r="W6">
        <f t="shared" si="0"/>
        <v>2035</v>
      </c>
      <c r="X6">
        <f t="shared" si="0"/>
        <v>2036</v>
      </c>
      <c r="Y6">
        <f t="shared" si="0"/>
        <v>2037</v>
      </c>
      <c r="Z6">
        <f t="shared" si="0"/>
        <v>2038</v>
      </c>
      <c r="AA6">
        <f t="shared" si="0"/>
        <v>2039</v>
      </c>
      <c r="AB6">
        <f t="shared" si="0"/>
        <v>2040</v>
      </c>
    </row>
    <row r="7" spans="1:33" ht="21.6" thickBot="1" x14ac:dyDescent="0.45">
      <c r="A7" s="17"/>
      <c r="B7" s="410">
        <f>SUM(Table18[% Reduction in Industrial Electricity Consumption in 2040 Compared to Baseline])</f>
        <v>0.16279557852430832</v>
      </c>
      <c r="D7" s="526">
        <v>0.5</v>
      </c>
      <c r="E7" s="527"/>
      <c r="F7" s="528"/>
      <c r="G7" s="25" t="s">
        <v>280</v>
      </c>
      <c r="H7" s="23">
        <f t="shared" ref="H7:AB7" si="1">$B$7/COUNT($H$6:$AB$6)</f>
        <v>7.752170405919444E-3</v>
      </c>
      <c r="I7" s="23">
        <f t="shared" si="1"/>
        <v>7.752170405919444E-3</v>
      </c>
      <c r="J7" s="23">
        <f t="shared" si="1"/>
        <v>7.752170405919444E-3</v>
      </c>
      <c r="K7" s="23">
        <f t="shared" si="1"/>
        <v>7.752170405919444E-3</v>
      </c>
      <c r="L7" s="23">
        <f t="shared" si="1"/>
        <v>7.752170405919444E-3</v>
      </c>
      <c r="M7" s="23">
        <f t="shared" si="1"/>
        <v>7.752170405919444E-3</v>
      </c>
      <c r="N7" s="23">
        <f t="shared" si="1"/>
        <v>7.752170405919444E-3</v>
      </c>
      <c r="O7" s="23">
        <f t="shared" si="1"/>
        <v>7.752170405919444E-3</v>
      </c>
      <c r="P7" s="23">
        <f t="shared" si="1"/>
        <v>7.752170405919444E-3</v>
      </c>
      <c r="Q7" s="23">
        <f t="shared" si="1"/>
        <v>7.752170405919444E-3</v>
      </c>
      <c r="R7" s="23">
        <f t="shared" si="1"/>
        <v>7.752170405919444E-3</v>
      </c>
      <c r="S7" s="23">
        <f t="shared" si="1"/>
        <v>7.752170405919444E-3</v>
      </c>
      <c r="T7" s="23">
        <f t="shared" si="1"/>
        <v>7.752170405919444E-3</v>
      </c>
      <c r="U7" s="23">
        <f t="shared" si="1"/>
        <v>7.752170405919444E-3</v>
      </c>
      <c r="V7" s="23">
        <f t="shared" si="1"/>
        <v>7.752170405919444E-3</v>
      </c>
      <c r="W7" s="23">
        <f t="shared" si="1"/>
        <v>7.752170405919444E-3</v>
      </c>
      <c r="X7" s="23">
        <f t="shared" si="1"/>
        <v>7.752170405919444E-3</v>
      </c>
      <c r="Y7" s="23">
        <f t="shared" si="1"/>
        <v>7.752170405919444E-3</v>
      </c>
      <c r="Z7" s="23">
        <f t="shared" si="1"/>
        <v>7.752170405919444E-3</v>
      </c>
      <c r="AA7" s="23">
        <f t="shared" si="1"/>
        <v>7.752170405919444E-3</v>
      </c>
      <c r="AB7" s="23">
        <f t="shared" si="1"/>
        <v>7.752170405919444E-3</v>
      </c>
      <c r="AC7" s="63"/>
    </row>
    <row r="8" spans="1:33" ht="23.4" customHeight="1" x14ac:dyDescent="0.3">
      <c r="A8" s="17"/>
      <c r="B8" s="230" t="s">
        <v>1006</v>
      </c>
      <c r="C8" s="230" t="s">
        <v>1007</v>
      </c>
      <c r="D8" s="230" t="s">
        <v>1008</v>
      </c>
      <c r="E8" s="230" t="s">
        <v>1009</v>
      </c>
      <c r="F8" s="230" t="s">
        <v>1010</v>
      </c>
      <c r="G8" s="25" t="s">
        <v>281</v>
      </c>
      <c r="H8" s="9">
        <v>0.01</v>
      </c>
      <c r="I8" s="9">
        <v>0.03</v>
      </c>
      <c r="J8" s="9">
        <v>0.06</v>
      </c>
      <c r="K8" s="9">
        <v>0.1</v>
      </c>
      <c r="L8" s="9">
        <v>0.15</v>
      </c>
      <c r="M8" s="9">
        <v>0.21</v>
      </c>
      <c r="N8" s="9">
        <v>0.28000000000000003</v>
      </c>
      <c r="O8" s="9">
        <v>0.36</v>
      </c>
      <c r="P8" s="9">
        <v>0.45</v>
      </c>
      <c r="Q8" s="9">
        <v>0.55000000000000004</v>
      </c>
      <c r="R8" s="9">
        <v>0.64</v>
      </c>
      <c r="S8" s="9">
        <v>0.72</v>
      </c>
      <c r="T8" s="9">
        <v>0.79</v>
      </c>
      <c r="U8" s="9">
        <v>0.85</v>
      </c>
      <c r="V8" s="9">
        <v>0.9</v>
      </c>
      <c r="W8" s="9">
        <v>0.94</v>
      </c>
      <c r="X8" s="9">
        <v>0.97</v>
      </c>
      <c r="Y8" s="9">
        <v>0.99</v>
      </c>
      <c r="Z8" s="9">
        <v>1</v>
      </c>
      <c r="AA8" s="9">
        <v>1</v>
      </c>
      <c r="AB8" s="9">
        <v>1</v>
      </c>
    </row>
    <row r="9" spans="1:33" ht="39" customHeight="1" x14ac:dyDescent="0.3">
      <c r="B9" s="329" t="s">
        <v>983</v>
      </c>
      <c r="C9" s="329" t="s">
        <v>1024</v>
      </c>
      <c r="D9" s="351" t="s">
        <v>1034</v>
      </c>
      <c r="E9" s="301" t="s">
        <v>1035</v>
      </c>
      <c r="F9" s="301" t="s">
        <v>1033</v>
      </c>
    </row>
    <row r="10" spans="1:33" x14ac:dyDescent="0.3">
      <c r="A10">
        <v>1</v>
      </c>
      <c r="B10" t="str">
        <f>RIGHT('IAC Industrial Averages'!A56,LEN('IAC Industrial Averages'!A56)-7)</f>
        <v>ANALYZE FLUE GAS FOR PROPER AIR/FUEL RATIO</v>
      </c>
      <c r="C10" s="176">
        <f>'IAC Industrial Averages'!D9</f>
        <v>0</v>
      </c>
      <c r="D10" s="387">
        <f t="shared" ref="D10:D20" si="2">$D$7</f>
        <v>0.5</v>
      </c>
      <c r="E10" s="388">
        <f>'IAC Industrial Averages'!C56</f>
        <v>0</v>
      </c>
      <c r="F10" s="389">
        <f>Table18[[#This Row],[% of Industrial Customers Adopting End-Use Efficiency Measures by 2040*]]*Table18[[#This Row],[% Electricity Savings Compared to Baseline]]*Table18[[#This Row],[% of Industrial Customers for Whom Measure is Viable**]]</f>
        <v>0</v>
      </c>
      <c r="H10" t="s">
        <v>280</v>
      </c>
      <c r="I10" t="s">
        <v>284</v>
      </c>
      <c r="J10">
        <f t="shared" ref="J10:AD10" si="3">H6</f>
        <v>2020</v>
      </c>
      <c r="K10">
        <f t="shared" si="3"/>
        <v>2021</v>
      </c>
      <c r="L10">
        <f t="shared" si="3"/>
        <v>2022</v>
      </c>
      <c r="M10">
        <f t="shared" si="3"/>
        <v>2023</v>
      </c>
      <c r="N10">
        <f t="shared" si="3"/>
        <v>2024</v>
      </c>
      <c r="O10">
        <f t="shared" si="3"/>
        <v>2025</v>
      </c>
      <c r="P10">
        <f t="shared" si="3"/>
        <v>2026</v>
      </c>
      <c r="Q10">
        <f t="shared" si="3"/>
        <v>2027</v>
      </c>
      <c r="R10">
        <f t="shared" si="3"/>
        <v>2028</v>
      </c>
      <c r="S10">
        <f t="shared" si="3"/>
        <v>2029</v>
      </c>
      <c r="T10">
        <f t="shared" si="3"/>
        <v>2030</v>
      </c>
      <c r="U10">
        <f t="shared" si="3"/>
        <v>2031</v>
      </c>
      <c r="V10">
        <f t="shared" si="3"/>
        <v>2032</v>
      </c>
      <c r="W10">
        <f t="shared" si="3"/>
        <v>2033</v>
      </c>
      <c r="X10">
        <f t="shared" si="3"/>
        <v>2034</v>
      </c>
      <c r="Y10">
        <f t="shared" si="3"/>
        <v>2035</v>
      </c>
      <c r="Z10">
        <f t="shared" si="3"/>
        <v>2036</v>
      </c>
      <c r="AA10">
        <f t="shared" si="3"/>
        <v>2037</v>
      </c>
      <c r="AB10">
        <f t="shared" si="3"/>
        <v>2038</v>
      </c>
      <c r="AC10">
        <f t="shared" si="3"/>
        <v>2039</v>
      </c>
      <c r="AD10">
        <f t="shared" si="3"/>
        <v>2040</v>
      </c>
    </row>
    <row r="11" spans="1:33" x14ac:dyDescent="0.3">
      <c r="A11">
        <v>2</v>
      </c>
      <c r="B11" t="str">
        <f>RIGHT('IAC Industrial Averages'!A58,LEN('IAC Industrial Averages'!A58)-7)</f>
        <v>USE HEAT FROM BOILER BLOWDOWN TO PREHEAT BOILER FEED WATER</v>
      </c>
      <c r="C11" s="176">
        <f>'IAC Industrial Averages'!D11</f>
        <v>0</v>
      </c>
      <c r="D11" s="387">
        <f t="shared" si="2"/>
        <v>0.5</v>
      </c>
      <c r="E11" s="388">
        <f>'IAC Industrial Averages'!C58</f>
        <v>0</v>
      </c>
      <c r="F11" s="389">
        <f>Table18[[#This Row],[% of Industrial Customers Adopting End-Use Efficiency Measures by 2040*]]*Table18[[#This Row],[% Electricity Savings Compared to Baseline]]*Table18[[#This Row],[% of Industrial Customers for Whom Measure is Viable**]]</f>
        <v>0</v>
      </c>
      <c r="H11" t="s">
        <v>13</v>
      </c>
      <c r="I11" s="1">
        <v>0.33</v>
      </c>
      <c r="J11" s="63">
        <f t="shared" ref="J11:S13" si="4">$I11*H$7</f>
        <v>2.5582162339534164E-3</v>
      </c>
      <c r="K11" s="63">
        <f t="shared" si="4"/>
        <v>2.5582162339534164E-3</v>
      </c>
      <c r="L11" s="63">
        <f t="shared" si="4"/>
        <v>2.5582162339534164E-3</v>
      </c>
      <c r="M11" s="63">
        <f t="shared" si="4"/>
        <v>2.5582162339534164E-3</v>
      </c>
      <c r="N11" s="63">
        <f t="shared" si="4"/>
        <v>2.5582162339534164E-3</v>
      </c>
      <c r="O11" s="63">
        <f t="shared" si="4"/>
        <v>2.5582162339534164E-3</v>
      </c>
      <c r="P11" s="63">
        <f t="shared" si="4"/>
        <v>2.5582162339534164E-3</v>
      </c>
      <c r="Q11" s="63">
        <f t="shared" si="4"/>
        <v>2.5582162339534164E-3</v>
      </c>
      <c r="R11" s="63">
        <f t="shared" si="4"/>
        <v>2.5582162339534164E-3</v>
      </c>
      <c r="S11" s="63">
        <f t="shared" si="4"/>
        <v>2.5582162339534164E-3</v>
      </c>
      <c r="T11" s="63">
        <f t="shared" ref="T11:AC13" si="5">$I11*R$7</f>
        <v>2.5582162339534164E-3</v>
      </c>
      <c r="U11" s="63">
        <f t="shared" si="5"/>
        <v>2.5582162339534164E-3</v>
      </c>
      <c r="V11" s="63">
        <f t="shared" si="5"/>
        <v>2.5582162339534164E-3</v>
      </c>
      <c r="W11" s="63">
        <f t="shared" si="5"/>
        <v>2.5582162339534164E-3</v>
      </c>
      <c r="X11" s="63">
        <f t="shared" si="5"/>
        <v>2.5582162339534164E-3</v>
      </c>
      <c r="Y11" s="63">
        <f t="shared" si="5"/>
        <v>2.5582162339534164E-3</v>
      </c>
      <c r="Z11" s="63">
        <f t="shared" si="5"/>
        <v>2.5582162339534164E-3</v>
      </c>
      <c r="AA11" s="63">
        <f t="shared" si="5"/>
        <v>2.5582162339534164E-3</v>
      </c>
      <c r="AB11" s="63">
        <f t="shared" si="5"/>
        <v>2.5582162339534164E-3</v>
      </c>
      <c r="AC11" s="63">
        <f t="shared" si="5"/>
        <v>2.5582162339534164E-3</v>
      </c>
      <c r="AD11" s="63">
        <f>$I11*AB$7</f>
        <v>2.5582162339534164E-3</v>
      </c>
    </row>
    <row r="12" spans="1:33" x14ac:dyDescent="0.3">
      <c r="A12">
        <f>A11+1</f>
        <v>3</v>
      </c>
      <c r="B12" t="str">
        <f>RIGHT('IAC Industrial Averages'!A59,LEN('IAC Industrial Averages'!A59)-7)</f>
        <v>USE WASTE HEAT FROM HOT FLUE GASES TO PREHEAT</v>
      </c>
      <c r="C12" s="176">
        <f>'IAC Industrial Averages'!D12</f>
        <v>0</v>
      </c>
      <c r="D12" s="387">
        <f t="shared" si="2"/>
        <v>0.5</v>
      </c>
      <c r="E12" s="388">
        <f>'IAC Industrial Averages'!C59</f>
        <v>0</v>
      </c>
      <c r="F12" s="389">
        <f>Table18[[#This Row],[% of Industrial Customers Adopting End-Use Efficiency Measures by 2040*]]*Table18[[#This Row],[% Electricity Savings Compared to Baseline]]*Table18[[#This Row],[% of Industrial Customers for Whom Measure is Viable**]]</f>
        <v>0</v>
      </c>
      <c r="H12" t="s">
        <v>15</v>
      </c>
      <c r="I12" s="1">
        <v>0.67</v>
      </c>
      <c r="J12" s="63">
        <f t="shared" si="4"/>
        <v>5.193954171966028E-3</v>
      </c>
      <c r="K12" s="63">
        <f t="shared" si="4"/>
        <v>5.193954171966028E-3</v>
      </c>
      <c r="L12" s="63">
        <f t="shared" si="4"/>
        <v>5.193954171966028E-3</v>
      </c>
      <c r="M12" s="63">
        <f t="shared" si="4"/>
        <v>5.193954171966028E-3</v>
      </c>
      <c r="N12" s="63">
        <f t="shared" si="4"/>
        <v>5.193954171966028E-3</v>
      </c>
      <c r="O12" s="63">
        <f t="shared" si="4"/>
        <v>5.193954171966028E-3</v>
      </c>
      <c r="P12" s="63">
        <f t="shared" si="4"/>
        <v>5.193954171966028E-3</v>
      </c>
      <c r="Q12" s="63">
        <f t="shared" si="4"/>
        <v>5.193954171966028E-3</v>
      </c>
      <c r="R12" s="63">
        <f t="shared" si="4"/>
        <v>5.193954171966028E-3</v>
      </c>
      <c r="S12" s="63">
        <f t="shared" si="4"/>
        <v>5.193954171966028E-3</v>
      </c>
      <c r="T12" s="63">
        <f t="shared" si="5"/>
        <v>5.193954171966028E-3</v>
      </c>
      <c r="U12" s="63">
        <f t="shared" si="5"/>
        <v>5.193954171966028E-3</v>
      </c>
      <c r="V12" s="63">
        <f t="shared" si="5"/>
        <v>5.193954171966028E-3</v>
      </c>
      <c r="W12" s="63">
        <f t="shared" si="5"/>
        <v>5.193954171966028E-3</v>
      </c>
      <c r="X12" s="63">
        <f t="shared" si="5"/>
        <v>5.193954171966028E-3</v>
      </c>
      <c r="Y12" s="63">
        <f t="shared" si="5"/>
        <v>5.193954171966028E-3</v>
      </c>
      <c r="Z12" s="63">
        <f t="shared" si="5"/>
        <v>5.193954171966028E-3</v>
      </c>
      <c r="AA12" s="63">
        <f t="shared" si="5"/>
        <v>5.193954171966028E-3</v>
      </c>
      <c r="AB12" s="63">
        <f t="shared" si="5"/>
        <v>5.193954171966028E-3</v>
      </c>
      <c r="AC12" s="63">
        <f t="shared" si="5"/>
        <v>5.193954171966028E-3</v>
      </c>
      <c r="AD12" s="63">
        <f>$I12*AB$7</f>
        <v>5.193954171966028E-3</v>
      </c>
    </row>
    <row r="13" spans="1:33" x14ac:dyDescent="0.3">
      <c r="A13">
        <f t="shared" ref="A13:A55" si="6">A12+1</f>
        <v>4</v>
      </c>
      <c r="B13" t="str">
        <f>RIGHT('IAC Industrial Averages'!A66,LEN('IAC Industrial Averages'!A66)-7)</f>
        <v>PAY UTILITY BILLS ON TIME</v>
      </c>
      <c r="C13" s="176">
        <f>'IAC Industrial Averages'!D19</f>
        <v>0</v>
      </c>
      <c r="D13" s="387">
        <f t="shared" si="2"/>
        <v>0.5</v>
      </c>
      <c r="E13" s="388">
        <f>'IAC Industrial Averages'!C66</f>
        <v>0</v>
      </c>
      <c r="F13" s="389">
        <f>Table18[[#This Row],[% of Industrial Customers Adopting End-Use Efficiency Measures by 2040*]]*Table18[[#This Row],[% Electricity Savings Compared to Baseline]]*Table18[[#This Row],[% of Industrial Customers for Whom Measure is Viable**]]</f>
        <v>0</v>
      </c>
      <c r="H13" t="s">
        <v>14</v>
      </c>
      <c r="I13" s="1">
        <v>1</v>
      </c>
      <c r="J13" s="63">
        <f t="shared" si="4"/>
        <v>7.752170405919444E-3</v>
      </c>
      <c r="K13" s="63">
        <f t="shared" si="4"/>
        <v>7.752170405919444E-3</v>
      </c>
      <c r="L13" s="63">
        <f t="shared" si="4"/>
        <v>7.752170405919444E-3</v>
      </c>
      <c r="M13" s="63">
        <f t="shared" si="4"/>
        <v>7.752170405919444E-3</v>
      </c>
      <c r="N13" s="63">
        <f t="shared" si="4"/>
        <v>7.752170405919444E-3</v>
      </c>
      <c r="O13" s="63">
        <f t="shared" si="4"/>
        <v>7.752170405919444E-3</v>
      </c>
      <c r="P13" s="63">
        <f t="shared" si="4"/>
        <v>7.752170405919444E-3</v>
      </c>
      <c r="Q13" s="63">
        <f t="shared" si="4"/>
        <v>7.752170405919444E-3</v>
      </c>
      <c r="R13" s="63">
        <f t="shared" si="4"/>
        <v>7.752170405919444E-3</v>
      </c>
      <c r="S13" s="63">
        <f t="shared" si="4"/>
        <v>7.752170405919444E-3</v>
      </c>
      <c r="T13" s="63">
        <f t="shared" si="5"/>
        <v>7.752170405919444E-3</v>
      </c>
      <c r="U13" s="63">
        <f t="shared" si="5"/>
        <v>7.752170405919444E-3</v>
      </c>
      <c r="V13" s="63">
        <f t="shared" si="5"/>
        <v>7.752170405919444E-3</v>
      </c>
      <c r="W13" s="63">
        <f t="shared" si="5"/>
        <v>7.752170405919444E-3</v>
      </c>
      <c r="X13" s="63">
        <f t="shared" si="5"/>
        <v>7.752170405919444E-3</v>
      </c>
      <c r="Y13" s="63">
        <f t="shared" si="5"/>
        <v>7.752170405919444E-3</v>
      </c>
      <c r="Z13" s="63">
        <f t="shared" si="5"/>
        <v>7.752170405919444E-3</v>
      </c>
      <c r="AA13" s="63">
        <f t="shared" si="5"/>
        <v>7.752170405919444E-3</v>
      </c>
      <c r="AB13" s="63">
        <f t="shared" si="5"/>
        <v>7.752170405919444E-3</v>
      </c>
      <c r="AC13" s="63">
        <f t="shared" si="5"/>
        <v>7.752170405919444E-3</v>
      </c>
      <c r="AD13" s="63">
        <f>$I13*AB$7</f>
        <v>7.752170405919444E-3</v>
      </c>
    </row>
    <row r="14" spans="1:33" x14ac:dyDescent="0.3">
      <c r="A14">
        <f t="shared" si="6"/>
        <v>5</v>
      </c>
      <c r="B14" t="str">
        <f>RIGHT('IAC Industrial Averages'!A69,LEN('IAC Industrial Averages'!A69)-7)</f>
        <v>CLOSELY MONITOR CHEMICAL ADDITIONS TO INCREASE BATH LIFE</v>
      </c>
      <c r="C14" s="176">
        <f>'IAC Industrial Averages'!D22</f>
        <v>0</v>
      </c>
      <c r="D14" s="387">
        <f t="shared" si="2"/>
        <v>0.5</v>
      </c>
      <c r="E14" s="388">
        <f>'IAC Industrial Averages'!C69</f>
        <v>0</v>
      </c>
      <c r="F14" s="389">
        <f>Table18[[#This Row],[% of Industrial Customers Adopting End-Use Efficiency Measures by 2040*]]*Table18[[#This Row],[% Electricity Savings Compared to Baseline]]*Table18[[#This Row],[% of Industrial Customers for Whom Measure is Viable**]]</f>
        <v>0</v>
      </c>
    </row>
    <row r="15" spans="1:33" ht="15" thickBot="1" x14ac:dyDescent="0.35">
      <c r="A15">
        <f t="shared" si="6"/>
        <v>6</v>
      </c>
      <c r="B15" t="str">
        <f>RIGHT('IAC Industrial Averages'!A71,LEN('IAC Industrial Averages'!A71)-7)</f>
        <v>REPAIR OR REPLACE STEAM TRAPS</v>
      </c>
      <c r="C15" s="176">
        <f>'IAC Industrial Averages'!D24</f>
        <v>0</v>
      </c>
      <c r="D15" s="387">
        <f t="shared" si="2"/>
        <v>0.5</v>
      </c>
      <c r="E15" s="388">
        <f>'IAC Industrial Averages'!C71</f>
        <v>0</v>
      </c>
      <c r="F15" s="389">
        <f>Table18[[#This Row],[% of Industrial Customers Adopting End-Use Efficiency Measures by 2040*]]*Table18[[#This Row],[% Electricity Savings Compared to Baseline]]*Table18[[#This Row],[% of Industrial Customers for Whom Measure is Viable**]]</f>
        <v>0</v>
      </c>
    </row>
    <row r="16" spans="1:33" x14ac:dyDescent="0.3">
      <c r="A16">
        <f t="shared" si="6"/>
        <v>7</v>
      </c>
      <c r="B16" t="str">
        <f>RIGHT('IAC Industrial Averages'!A75,LEN('IAC Industrial Averages'!A75)-7)</f>
        <v>OPTIMIZE PLANT POWER FACTOR</v>
      </c>
      <c r="C16" s="176">
        <f>'IAC Industrial Averages'!D28</f>
        <v>0</v>
      </c>
      <c r="D16" s="387">
        <f t="shared" si="2"/>
        <v>0.5</v>
      </c>
      <c r="E16" s="388">
        <f>'IAC Industrial Averages'!C75</f>
        <v>0</v>
      </c>
      <c r="F16" s="389">
        <f>Table18[[#This Row],[% of Industrial Customers Adopting End-Use Efficiency Measures by 2040*]]*Table18[[#This Row],[% Electricity Savings Compared to Baseline]]*Table18[[#This Row],[% of Industrial Customers for Whom Measure is Viable**]]</f>
        <v>0</v>
      </c>
      <c r="H16" s="68" t="s">
        <v>285</v>
      </c>
      <c r="I16" s="69" t="s">
        <v>284</v>
      </c>
      <c r="J16" s="69">
        <f t="shared" ref="J16:AD16" si="7">J10</f>
        <v>2020</v>
      </c>
      <c r="K16" s="69">
        <f t="shared" si="7"/>
        <v>2021</v>
      </c>
      <c r="L16" s="69">
        <f t="shared" si="7"/>
        <v>2022</v>
      </c>
      <c r="M16" s="69">
        <f t="shared" si="7"/>
        <v>2023</v>
      </c>
      <c r="N16" s="69">
        <f t="shared" si="7"/>
        <v>2024</v>
      </c>
      <c r="O16" s="69">
        <f t="shared" si="7"/>
        <v>2025</v>
      </c>
      <c r="P16" s="69">
        <f t="shared" si="7"/>
        <v>2026</v>
      </c>
      <c r="Q16" s="69">
        <f t="shared" si="7"/>
        <v>2027</v>
      </c>
      <c r="R16" s="69">
        <f t="shared" si="7"/>
        <v>2028</v>
      </c>
      <c r="S16" s="69">
        <f t="shared" si="7"/>
        <v>2029</v>
      </c>
      <c r="T16" s="69">
        <f t="shared" si="7"/>
        <v>2030</v>
      </c>
      <c r="U16" s="69">
        <f t="shared" si="7"/>
        <v>2031</v>
      </c>
      <c r="V16" s="69">
        <f t="shared" si="7"/>
        <v>2032</v>
      </c>
      <c r="W16" s="69">
        <f t="shared" si="7"/>
        <v>2033</v>
      </c>
      <c r="X16" s="69">
        <f t="shared" si="7"/>
        <v>2034</v>
      </c>
      <c r="Y16" s="69">
        <f t="shared" si="7"/>
        <v>2035</v>
      </c>
      <c r="Z16" s="69">
        <f t="shared" si="7"/>
        <v>2036</v>
      </c>
      <c r="AA16" s="69">
        <f t="shared" si="7"/>
        <v>2037</v>
      </c>
      <c r="AB16" s="69">
        <f t="shared" si="7"/>
        <v>2038</v>
      </c>
      <c r="AC16" s="69">
        <f t="shared" si="7"/>
        <v>2039</v>
      </c>
      <c r="AD16" s="69">
        <f t="shared" si="7"/>
        <v>2040</v>
      </c>
      <c r="AE16" t="s">
        <v>286</v>
      </c>
      <c r="AF16" t="s">
        <v>287</v>
      </c>
    </row>
    <row r="17" spans="1:31" x14ac:dyDescent="0.3">
      <c r="A17">
        <f t="shared" si="6"/>
        <v>8</v>
      </c>
      <c r="B17" t="str">
        <f>RIGHT('IAC Industrial Averages'!A78,LEN('IAC Industrial Averages'!A78)-7)</f>
        <v>ISOLATE HOT OR COLD EQUIPMENT</v>
      </c>
      <c r="C17" s="176">
        <f>'IAC Industrial Averages'!D31</f>
        <v>0</v>
      </c>
      <c r="D17" s="387">
        <f t="shared" si="2"/>
        <v>0.5</v>
      </c>
      <c r="E17" s="388">
        <f>'IAC Industrial Averages'!C78</f>
        <v>0</v>
      </c>
      <c r="F17" s="389">
        <f>Table18[[#This Row],[% of Industrial Customers Adopting End-Use Efficiency Measures by 2040*]]*Table18[[#This Row],[% Electricity Savings Compared to Baseline]]*Table18[[#This Row],[% of Industrial Customers for Whom Measure is Viable**]]</f>
        <v>0</v>
      </c>
      <c r="H17" s="70" t="s">
        <v>13</v>
      </c>
      <c r="I17" s="173">
        <v>0.33</v>
      </c>
      <c r="J17" s="174"/>
      <c r="K17" s="174"/>
      <c r="L17" s="174"/>
      <c r="M17" s="174"/>
      <c r="N17" s="174"/>
      <c r="O17" s="174"/>
      <c r="P17" s="174"/>
      <c r="Q17" s="174"/>
      <c r="R17" s="174"/>
      <c r="S17" s="174"/>
      <c r="T17" s="174"/>
      <c r="U17" s="174"/>
      <c r="V17" s="174"/>
      <c r="W17" s="174"/>
      <c r="X17" s="174"/>
      <c r="Y17" s="174"/>
      <c r="Z17" s="174"/>
      <c r="AA17" s="174"/>
      <c r="AB17" s="174"/>
      <c r="AC17" s="174"/>
      <c r="AD17" s="71"/>
    </row>
    <row r="18" spans="1:31" x14ac:dyDescent="0.3">
      <c r="A18">
        <f t="shared" si="6"/>
        <v>9</v>
      </c>
      <c r="B18" t="str">
        <f>RIGHT('IAC Industrial Averages'!A90,LEN('IAC Industrial Averages'!A90)-7)</f>
        <v>USE OPTIMUM THICKNESS INSULATION</v>
      </c>
      <c r="C18" s="176">
        <f>'IAC Industrial Averages'!D43</f>
        <v>0</v>
      </c>
      <c r="D18" s="387">
        <f t="shared" si="2"/>
        <v>0.5</v>
      </c>
      <c r="E18" s="388">
        <f>'IAC Industrial Averages'!C90</f>
        <v>0</v>
      </c>
      <c r="F18" s="389">
        <f>Table18[[#This Row],[% of Industrial Customers Adopting End-Use Efficiency Measures by 2040*]]*Table18[[#This Row],[% Electricity Savings Compared to Baseline]]*Table18[[#This Row],[% of Industrial Customers for Whom Measure is Viable**]]</f>
        <v>0</v>
      </c>
      <c r="H18" s="70" t="s">
        <v>15</v>
      </c>
      <c r="I18" s="173">
        <v>0.67</v>
      </c>
      <c r="J18" s="174"/>
      <c r="K18" s="174"/>
      <c r="L18" s="174"/>
      <c r="M18" s="174"/>
      <c r="N18" s="174"/>
      <c r="O18" s="174"/>
      <c r="P18" s="174"/>
      <c r="Q18" s="174"/>
      <c r="R18" s="174"/>
      <c r="S18" s="174"/>
      <c r="T18" s="174"/>
      <c r="U18" s="174"/>
      <c r="V18" s="174"/>
      <c r="W18" s="174"/>
      <c r="X18" s="174"/>
      <c r="Y18" s="174"/>
      <c r="Z18" s="174"/>
      <c r="AA18" s="174"/>
      <c r="AB18" s="174"/>
      <c r="AC18" s="174"/>
      <c r="AD18" s="71"/>
    </row>
    <row r="19" spans="1:31" x14ac:dyDescent="0.3">
      <c r="A19">
        <f t="shared" si="6"/>
        <v>10</v>
      </c>
      <c r="B19" t="str">
        <f>RIGHT('IAC Industrial Averages'!A92,LEN('IAC Industrial Averages'!A92)-7)</f>
        <v>REPLACE TREATED WATER WITH WELL / SURFACE WATER</v>
      </c>
      <c r="C19" s="176">
        <f>'IAC Industrial Averages'!D45</f>
        <v>0</v>
      </c>
      <c r="D19" s="387">
        <f t="shared" si="2"/>
        <v>0.5</v>
      </c>
      <c r="E19" s="388">
        <f>'IAC Industrial Averages'!C92</f>
        <v>0</v>
      </c>
      <c r="F19" s="389">
        <f>Table18[[#This Row],[% of Industrial Customers Adopting End-Use Efficiency Measures by 2040*]]*Table18[[#This Row],[% Electricity Savings Compared to Baseline]]*Table18[[#This Row],[% of Industrial Customers for Whom Measure is Viable**]]</f>
        <v>0</v>
      </c>
      <c r="H19" s="70" t="s">
        <v>13</v>
      </c>
      <c r="I19" s="173">
        <v>0.33</v>
      </c>
      <c r="J19" s="175" t="e">
        <f>$I19*#REF!</f>
        <v>#REF!</v>
      </c>
      <c r="K19" s="175" t="e">
        <f>$I19*#REF!</f>
        <v>#REF!</v>
      </c>
      <c r="L19" s="175" t="e">
        <f>$I19*#REF!</f>
        <v>#REF!</v>
      </c>
      <c r="M19" s="175" t="e">
        <f>$I19*#REF!</f>
        <v>#REF!</v>
      </c>
      <c r="N19" s="175" t="e">
        <f>$I19*#REF!</f>
        <v>#REF!</v>
      </c>
      <c r="O19" s="175" t="e">
        <f>$I19*#REF!</f>
        <v>#REF!</v>
      </c>
      <c r="P19" s="175" t="e">
        <f>$I19*#REF!</f>
        <v>#REF!</v>
      </c>
      <c r="Q19" s="175" t="e">
        <f>$I19*#REF!</f>
        <v>#REF!</v>
      </c>
      <c r="R19" s="175" t="e">
        <f>$I19*#REF!</f>
        <v>#REF!</v>
      </c>
      <c r="S19" s="175" t="e">
        <f>$I19*#REF!</f>
        <v>#REF!</v>
      </c>
      <c r="T19" s="175" t="e">
        <f>$I19*#REF!</f>
        <v>#REF!</v>
      </c>
      <c r="U19" s="175" t="e">
        <f>$I19*#REF!</f>
        <v>#REF!</v>
      </c>
      <c r="V19" s="175" t="e">
        <f>$I19*#REF!</f>
        <v>#REF!</v>
      </c>
      <c r="W19" s="175" t="e">
        <f>$I19*#REF!</f>
        <v>#REF!</v>
      </c>
      <c r="X19" s="175" t="e">
        <f>$I19*#REF!</f>
        <v>#REF!</v>
      </c>
      <c r="Y19" s="175" t="e">
        <f>$I19*#REF!</f>
        <v>#REF!</v>
      </c>
      <c r="Z19" s="175" t="e">
        <f>$I19*#REF!</f>
        <v>#REF!</v>
      </c>
      <c r="AA19" s="175" t="e">
        <f>$I19*#REF!</f>
        <v>#REF!</v>
      </c>
      <c r="AB19" s="175" t="e">
        <f>$I19*#REF!</f>
        <v>#REF!</v>
      </c>
      <c r="AC19" s="175" t="e">
        <f>$I19*#REF!</f>
        <v>#REF!</v>
      </c>
      <c r="AD19" s="72" t="e">
        <f>$I19*#REF!</f>
        <v>#REF!</v>
      </c>
      <c r="AE19" s="63" t="e">
        <f>SUM(J19:AD19)</f>
        <v>#REF!</v>
      </c>
    </row>
    <row r="20" spans="1:31" x14ac:dyDescent="0.3">
      <c r="A20">
        <f t="shared" si="6"/>
        <v>11</v>
      </c>
      <c r="B20" t="str">
        <f>RIGHT('IAC Industrial Averages'!A93,LEN('IAC Industrial Averages'!A93)-7)</f>
        <v>REDUCE EXCESSIVE BOILER BLOWDOWN</v>
      </c>
      <c r="C20" s="176">
        <f>'IAC Industrial Averages'!D46</f>
        <v>0</v>
      </c>
      <c r="D20" s="387">
        <f t="shared" si="2"/>
        <v>0.5</v>
      </c>
      <c r="E20" s="388">
        <f>'IAC Industrial Averages'!C93</f>
        <v>0</v>
      </c>
      <c r="F20" s="389">
        <f>Table18[[#This Row],[% of Industrial Customers Adopting End-Use Efficiency Measures by 2040*]]*Table18[[#This Row],[% Electricity Savings Compared to Baseline]]*Table18[[#This Row],[% of Industrial Customers for Whom Measure is Viable**]]</f>
        <v>0</v>
      </c>
      <c r="H20" s="70" t="s">
        <v>15</v>
      </c>
      <c r="I20" s="173">
        <v>0.67</v>
      </c>
      <c r="J20" s="175" t="e">
        <f>$I20*#REF!</f>
        <v>#REF!</v>
      </c>
      <c r="K20" s="175" t="e">
        <f>$I20*#REF!</f>
        <v>#REF!</v>
      </c>
      <c r="L20" s="175" t="e">
        <f>$I20*#REF!</f>
        <v>#REF!</v>
      </c>
      <c r="M20" s="175" t="e">
        <f>$I20*#REF!</f>
        <v>#REF!</v>
      </c>
      <c r="N20" s="175" t="e">
        <f>$I20*#REF!</f>
        <v>#REF!</v>
      </c>
      <c r="O20" s="175" t="e">
        <f>$I20*#REF!</f>
        <v>#REF!</v>
      </c>
      <c r="P20" s="175" t="e">
        <f>$I20*#REF!</f>
        <v>#REF!</v>
      </c>
      <c r="Q20" s="175" t="e">
        <f>$I20*#REF!</f>
        <v>#REF!</v>
      </c>
      <c r="R20" s="175" t="e">
        <f>$I20*#REF!</f>
        <v>#REF!</v>
      </c>
      <c r="S20" s="175" t="e">
        <f>$I20*#REF!</f>
        <v>#REF!</v>
      </c>
      <c r="T20" s="175" t="e">
        <f>$I20*#REF!</f>
        <v>#REF!</v>
      </c>
      <c r="U20" s="175" t="e">
        <f>$I20*#REF!</f>
        <v>#REF!</v>
      </c>
      <c r="V20" s="175" t="e">
        <f>$I20*#REF!</f>
        <v>#REF!</v>
      </c>
      <c r="W20" s="175" t="e">
        <f>$I20*#REF!</f>
        <v>#REF!</v>
      </c>
      <c r="X20" s="175" t="e">
        <f>$I20*#REF!</f>
        <v>#REF!</v>
      </c>
      <c r="Y20" s="175" t="e">
        <f>$I20*#REF!</f>
        <v>#REF!</v>
      </c>
      <c r="Z20" s="175" t="e">
        <f>$I20*#REF!</f>
        <v>#REF!</v>
      </c>
      <c r="AA20" s="175" t="e">
        <f>$I20*#REF!</f>
        <v>#REF!</v>
      </c>
      <c r="AB20" s="175" t="e">
        <f>$I20*#REF!</f>
        <v>#REF!</v>
      </c>
      <c r="AC20" s="175" t="e">
        <f>$I20*#REF!</f>
        <v>#REF!</v>
      </c>
      <c r="AD20" s="72" t="e">
        <f>$I20*#REF!</f>
        <v>#REF!</v>
      </c>
      <c r="AE20" s="63" t="e">
        <f>SUM(J20:AD20)</f>
        <v>#REF!</v>
      </c>
    </row>
    <row r="21" spans="1:31" ht="15" thickBot="1" x14ac:dyDescent="0.35">
      <c r="A21">
        <f t="shared" si="6"/>
        <v>12</v>
      </c>
      <c r="B21" t="str">
        <f>RIGHT('IAC Industrial Averages'!A67,LEN('IAC Industrial Averages'!A67)-7)</f>
        <v>CHANGE RATE SCHEDULES OR OTHER CHANGES IN UTILITY SERVICE</v>
      </c>
      <c r="C21" s="176">
        <f>'IAC Industrial Averages'!D20</f>
        <v>1.4503837662846285E-2</v>
      </c>
      <c r="D21" s="387">
        <v>0</v>
      </c>
      <c r="E21" s="388">
        <v>0</v>
      </c>
      <c r="F21" s="389">
        <f>Table18[[#This Row],[% of Industrial Customers Adopting End-Use Efficiency Measures by 2040*]]*Table18[[#This Row],[% Electricity Savings Compared to Baseline]]*Table18[[#This Row],[% of Industrial Customers for Whom Measure is Viable**]]</f>
        <v>0</v>
      </c>
      <c r="H21" s="73" t="s">
        <v>14</v>
      </c>
      <c r="I21" s="74">
        <v>1</v>
      </c>
      <c r="J21" s="75" t="e">
        <f>$I21*#REF!</f>
        <v>#REF!</v>
      </c>
      <c r="K21" s="75" t="e">
        <f>$I21*#REF!</f>
        <v>#REF!</v>
      </c>
      <c r="L21" s="75" t="e">
        <f>$I21*#REF!</f>
        <v>#REF!</v>
      </c>
      <c r="M21" s="75" t="e">
        <f>$I21*#REF!</f>
        <v>#REF!</v>
      </c>
      <c r="N21" s="75" t="e">
        <f>$I21*#REF!</f>
        <v>#REF!</v>
      </c>
      <c r="O21" s="75" t="e">
        <f>$I21*#REF!</f>
        <v>#REF!</v>
      </c>
      <c r="P21" s="75" t="e">
        <f>$I21*#REF!</f>
        <v>#REF!</v>
      </c>
      <c r="Q21" s="75" t="e">
        <f>$I21*#REF!</f>
        <v>#REF!</v>
      </c>
      <c r="R21" s="75" t="e">
        <f>$I21*#REF!</f>
        <v>#REF!</v>
      </c>
      <c r="S21" s="75" t="e">
        <f>$I21*#REF!</f>
        <v>#REF!</v>
      </c>
      <c r="T21" s="75" t="e">
        <f>$I21*#REF!</f>
        <v>#REF!</v>
      </c>
      <c r="U21" s="75" t="e">
        <f>$I21*#REF!</f>
        <v>#REF!</v>
      </c>
      <c r="V21" s="75" t="e">
        <f>$I21*#REF!</f>
        <v>#REF!</v>
      </c>
      <c r="W21" s="75" t="e">
        <f>$I21*#REF!</f>
        <v>#REF!</v>
      </c>
      <c r="X21" s="75" t="e">
        <f>$I21*#REF!</f>
        <v>#REF!</v>
      </c>
      <c r="Y21" s="75" t="e">
        <f>$I21*#REF!</f>
        <v>#REF!</v>
      </c>
      <c r="Z21" s="75" t="e">
        <f>$I21*#REF!</f>
        <v>#REF!</v>
      </c>
      <c r="AA21" s="75" t="e">
        <f>$I21*#REF!</f>
        <v>#REF!</v>
      </c>
      <c r="AB21" s="75" t="e">
        <f>$I21*#REF!</f>
        <v>#REF!</v>
      </c>
      <c r="AC21" s="75" t="e">
        <f>$I21*#REF!</f>
        <v>#REF!</v>
      </c>
      <c r="AD21" s="76" t="e">
        <f>$I21*#REF!</f>
        <v>#REF!</v>
      </c>
      <c r="AE21" s="63" t="e">
        <f>SUM(J21:AD21)</f>
        <v>#REF!</v>
      </c>
    </row>
    <row r="22" spans="1:31" x14ac:dyDescent="0.3">
      <c r="A22">
        <f t="shared" si="6"/>
        <v>13</v>
      </c>
      <c r="B22" t="str">
        <f>RIGHT('IAC Industrial Averages'!A64,LEN('IAC Industrial Averages'!A64)-7)</f>
        <v>USE A FOSSIL FUEL ENGINE TO COGENERATE ELECTRICITY OR MOTIVE POWER; AND UTILIZE HEAT</v>
      </c>
      <c r="C22" s="176">
        <f>'IAC Industrial Averages'!D17</f>
        <v>0.49941983826296371</v>
      </c>
      <c r="D22" s="387">
        <v>0.5</v>
      </c>
      <c r="E22" s="388">
        <f>'IAC Industrial Averages'!C64</f>
        <v>0.15</v>
      </c>
      <c r="F22" s="389">
        <f>Table18[[#This Row],[% of Industrial Customers Adopting End-Use Efficiency Measures by 2040*]]*Table18[[#This Row],[% Electricity Savings Compared to Baseline]]*Table18[[#This Row],[% of Industrial Customers for Whom Measure is Viable**]]</f>
        <v>3.7456487869722277E-2</v>
      </c>
      <c r="J22" s="63"/>
      <c r="K22" s="63"/>
      <c r="L22" s="63"/>
      <c r="M22" s="63"/>
      <c r="N22" s="63"/>
      <c r="O22" s="63"/>
      <c r="P22" s="63"/>
      <c r="Q22" s="63"/>
      <c r="R22" s="63"/>
      <c r="S22" s="63"/>
      <c r="T22" s="63"/>
      <c r="U22" s="63"/>
      <c r="V22" s="63"/>
      <c r="W22" s="63"/>
      <c r="X22" s="63"/>
      <c r="Y22" s="63"/>
      <c r="Z22" s="63"/>
      <c r="AA22" s="63"/>
      <c r="AB22" s="63"/>
      <c r="AC22" s="63"/>
      <c r="AD22" s="63"/>
    </row>
    <row r="23" spans="1:31" x14ac:dyDescent="0.3">
      <c r="A23">
        <f t="shared" si="6"/>
        <v>14</v>
      </c>
      <c r="B23" t="str">
        <f>RIGHT('IAC Industrial Averages'!A86,LEN('IAC Industrial Averages'!A86)-7)</f>
        <v>USE PHOTOCELL CONTROLS</v>
      </c>
      <c r="C23" s="176">
        <f>'IAC Industrial Averages'!D39</f>
        <v>7.5137776306022624E-4</v>
      </c>
      <c r="D23" s="387">
        <f t="shared" ref="D23:D55" si="8">$D$7</f>
        <v>0.5</v>
      </c>
      <c r="E23" s="388">
        <f>'IAC Industrial Averages'!C86</f>
        <v>0.1</v>
      </c>
      <c r="F23" s="389">
        <f>Table18[[#This Row],[% of Industrial Customers Adopting End-Use Efficiency Measures by 2040*]]*Table18[[#This Row],[% Electricity Savings Compared to Baseline]]*Table18[[#This Row],[% of Industrial Customers for Whom Measure is Viable**]]</f>
        <v>3.7568888153011317E-5</v>
      </c>
    </row>
    <row r="24" spans="1:31" x14ac:dyDescent="0.3">
      <c r="A24">
        <f t="shared" si="6"/>
        <v>15</v>
      </c>
      <c r="B24" t="str">
        <f>RIGHT('IAC Industrial Averages'!A85,LEN('IAC Industrial Averages'!A85)-7)</f>
        <v>AVOID INTRODUCING HOT, HUMID, OR DIRTY AIR INTO HVAC SYSTEM</v>
      </c>
      <c r="C24" s="176">
        <f>'IAC Industrial Averages'!D38</f>
        <v>2.2938094537821182E-3</v>
      </c>
      <c r="D24" s="387">
        <f t="shared" si="8"/>
        <v>0.5</v>
      </c>
      <c r="E24" s="388">
        <f>'IAC Industrial Averages'!C85</f>
        <v>0.05</v>
      </c>
      <c r="F24" s="389">
        <f>Table18[[#This Row],[% of Industrial Customers Adopting End-Use Efficiency Measures by 2040*]]*Table18[[#This Row],[% Electricity Savings Compared to Baseline]]*Table18[[#This Row],[% of Industrial Customers for Whom Measure is Viable**]]</f>
        <v>5.7345236344552958E-5</v>
      </c>
    </row>
    <row r="25" spans="1:31" x14ac:dyDescent="0.3">
      <c r="A25">
        <f t="shared" si="6"/>
        <v>16</v>
      </c>
      <c r="B25" t="str">
        <f>RIGHT('IAC Industrial Averages'!A87,LEN('IAC Industrial Averages'!A87)-7)</f>
        <v>UTILIZE ENERGY-EFFICIENT BELTS AND OTHER IMPROVED MECHANISMS</v>
      </c>
      <c r="C25" s="176">
        <f>'IAC Industrial Averages'!D40</f>
        <v>9.9442941333119502E-4</v>
      </c>
      <c r="D25" s="387">
        <f t="shared" si="8"/>
        <v>0.5</v>
      </c>
      <c r="E25" s="388">
        <f>'IAC Industrial Averages'!C87</f>
        <v>0.15</v>
      </c>
      <c r="F25" s="389">
        <f>Table18[[#This Row],[% of Industrial Customers Adopting End-Use Efficiency Measures by 2040*]]*Table18[[#This Row],[% Electricity Savings Compared to Baseline]]*Table18[[#This Row],[% of Industrial Customers for Whom Measure is Viable**]]</f>
        <v>7.4582205999839621E-5</v>
      </c>
    </row>
    <row r="26" spans="1:31" x14ac:dyDescent="0.3">
      <c r="A26">
        <f t="shared" si="6"/>
        <v>17</v>
      </c>
      <c r="B26" t="str">
        <f>RIGHT('IAC Industrial Averages'!A94,LEN('IAC Industrial Averages'!A94)-7)</f>
        <v>UTILIZE ENERGY-EFFICIENT BELTS AND OTHER IMPROVED MECHANISMS</v>
      </c>
      <c r="C26" s="176">
        <f>'IAC Industrial Averages'!D47</f>
        <v>9.9442941333119502E-4</v>
      </c>
      <c r="D26" s="387">
        <f t="shared" si="8"/>
        <v>0.5</v>
      </c>
      <c r="E26" s="388">
        <f>'IAC Industrial Averages'!C94</f>
        <v>0.15</v>
      </c>
      <c r="F26" s="389">
        <f>Table18[[#This Row],[% of Industrial Customers Adopting End-Use Efficiency Measures by 2040*]]*Table18[[#This Row],[% Electricity Savings Compared to Baseline]]*Table18[[#This Row],[% of Industrial Customers for Whom Measure is Viable**]]</f>
        <v>7.4582205999839621E-5</v>
      </c>
    </row>
    <row r="27" spans="1:31" x14ac:dyDescent="0.3">
      <c r="A27">
        <f t="shared" si="6"/>
        <v>18</v>
      </c>
      <c r="B27" t="str">
        <f>RIGHT('IAC Industrial Averages'!A83,LEN('IAC Industrial Averages'!A83)-7)</f>
        <v>UTILIZE DAYLIGHT WHENEVER POSSIBLE IN LIEU OF ARTIFICIAL LIGHT</v>
      </c>
      <c r="C27" s="176">
        <f>'IAC Industrial Averages'!D36</f>
        <v>1.625451093435456E-3</v>
      </c>
      <c r="D27" s="387">
        <f t="shared" si="8"/>
        <v>0.5</v>
      </c>
      <c r="E27" s="388">
        <f>'IAC Industrial Averages'!C83</f>
        <v>0.1</v>
      </c>
      <c r="F27" s="389">
        <f>Table18[[#This Row],[% of Industrial Customers Adopting End-Use Efficiency Measures by 2040*]]*Table18[[#This Row],[% Electricity Savings Compared to Baseline]]*Table18[[#This Row],[% of Industrial Customers for Whom Measure is Viable**]]</f>
        <v>8.1272554671772804E-5</v>
      </c>
    </row>
    <row r="28" spans="1:31" ht="15" thickBot="1" x14ac:dyDescent="0.35">
      <c r="A28">
        <f t="shared" si="6"/>
        <v>19</v>
      </c>
      <c r="B28" t="str">
        <f>RIGHT('IAC Industrial Averages'!A54,LEN('IAC Industrial Averages'!A54)-7)</f>
        <v>RECOVER WASTE HEAT FROM EQUIPMENT</v>
      </c>
      <c r="C28" s="176">
        <f>'IAC Industrial Averages'!D7</f>
        <v>3.8725102224215842E-3</v>
      </c>
      <c r="D28" s="387">
        <f t="shared" si="8"/>
        <v>0.5</v>
      </c>
      <c r="E28" s="388">
        <f>'IAC Industrial Averages'!C54</f>
        <v>0.05</v>
      </c>
      <c r="F28" s="389">
        <f>Table18[[#This Row],[% of Industrial Customers Adopting End-Use Efficiency Measures by 2040*]]*Table18[[#This Row],[% Electricity Savings Compared to Baseline]]*Table18[[#This Row],[% of Industrial Customers for Whom Measure is Viable**]]</f>
        <v>9.6812755560539611E-5</v>
      </c>
      <c r="H28" s="73" t="s">
        <v>14</v>
      </c>
      <c r="I28" s="74">
        <v>1</v>
      </c>
      <c r="J28" s="75" t="e">
        <f>$I28*#REF!</f>
        <v>#REF!</v>
      </c>
      <c r="K28" s="75" t="e">
        <f>$I28*#REF!</f>
        <v>#REF!</v>
      </c>
      <c r="L28" s="75" t="e">
        <f>$I28*#REF!</f>
        <v>#REF!</v>
      </c>
      <c r="M28" s="75" t="e">
        <f>$I28*#REF!</f>
        <v>#REF!</v>
      </c>
      <c r="N28" s="75" t="e">
        <f>$I28*#REF!</f>
        <v>#REF!</v>
      </c>
      <c r="O28" s="75" t="e">
        <f>$I28*#REF!</f>
        <v>#REF!</v>
      </c>
      <c r="P28" s="75" t="e">
        <f>$I28*#REF!</f>
        <v>#REF!</v>
      </c>
      <c r="Q28" s="75" t="e">
        <f>$I28*#REF!</f>
        <v>#REF!</v>
      </c>
      <c r="R28" s="75" t="e">
        <f>$I28*#REF!</f>
        <v>#REF!</v>
      </c>
      <c r="S28" s="75" t="e">
        <f>$I28*#REF!</f>
        <v>#REF!</v>
      </c>
      <c r="T28" s="75" t="e">
        <f>$I28*#REF!</f>
        <v>#REF!</v>
      </c>
      <c r="U28" s="75" t="e">
        <f>$I28*#REF!</f>
        <v>#REF!</v>
      </c>
      <c r="V28" s="75" t="e">
        <f>$I28*#REF!</f>
        <v>#REF!</v>
      </c>
      <c r="W28" s="75" t="e">
        <f>$I28*#REF!</f>
        <v>#REF!</v>
      </c>
      <c r="X28" s="75" t="e">
        <f>$I28*#REF!</f>
        <v>#REF!</v>
      </c>
      <c r="Y28" s="75" t="e">
        <f>$I28*#REF!</f>
        <v>#REF!</v>
      </c>
      <c r="Z28" s="75" t="e">
        <f>$I28*#REF!</f>
        <v>#REF!</v>
      </c>
      <c r="AA28" s="75" t="e">
        <f>$I28*#REF!</f>
        <v>#REF!</v>
      </c>
      <c r="AB28" s="75" t="e">
        <f>$I28*#REF!</f>
        <v>#REF!</v>
      </c>
      <c r="AC28" s="75" t="e">
        <f>$I28*#REF!</f>
        <v>#REF!</v>
      </c>
      <c r="AD28" s="76" t="e">
        <f>$I28*#REF!</f>
        <v>#REF!</v>
      </c>
    </row>
    <row r="29" spans="1:31" x14ac:dyDescent="0.3">
      <c r="A29">
        <f t="shared" si="6"/>
        <v>20</v>
      </c>
      <c r="B29" t="str">
        <f>RIGHT('IAC Industrial Averages'!A91,LEN('IAC Industrial Averages'!A91)-7)</f>
        <v>REPLACE EXISTING HVAC UNIT WITH HIGH EFFICIENCY MODEL</v>
      </c>
      <c r="C29" s="176">
        <f>'IAC Industrial Averages'!D44</f>
        <v>7.0840186151439836E-3</v>
      </c>
      <c r="D29" s="387">
        <f t="shared" si="8"/>
        <v>0.5</v>
      </c>
      <c r="E29" s="388">
        <f>'IAC Industrial Averages'!C91</f>
        <v>0.05</v>
      </c>
      <c r="F29" s="389">
        <f>Table18[[#This Row],[% of Industrial Customers Adopting End-Use Efficiency Measures by 2040*]]*Table18[[#This Row],[% Electricity Savings Compared to Baseline]]*Table18[[#This Row],[% of Industrial Customers for Whom Measure is Viable**]]</f>
        <v>1.7710046537859961E-4</v>
      </c>
    </row>
    <row r="30" spans="1:31" x14ac:dyDescent="0.3">
      <c r="A30">
        <f t="shared" si="6"/>
        <v>21</v>
      </c>
      <c r="B30" t="str">
        <f>RIGHT('IAC Industrial Averages'!A65,LEN('IAC Industrial Averages'!A65)-7)</f>
        <v>UPGRADE OBSOLETE EQUIPMENT</v>
      </c>
      <c r="C30" s="176">
        <f>'IAC Industrial Averages'!D18</f>
        <v>9.0006905956606115E-3</v>
      </c>
      <c r="D30" s="387">
        <f t="shared" si="8"/>
        <v>0.5</v>
      </c>
      <c r="E30" s="388">
        <f>'IAC Industrial Averages'!C65</f>
        <v>0.05</v>
      </c>
      <c r="F30" s="389">
        <f>Table18[[#This Row],[% of Industrial Customers Adopting End-Use Efficiency Measures by 2040*]]*Table18[[#This Row],[% Electricity Savings Compared to Baseline]]*Table18[[#This Row],[% of Industrial Customers for Whom Measure is Viable**]]</f>
        <v>2.2501726489151529E-4</v>
      </c>
    </row>
    <row r="31" spans="1:31" x14ac:dyDescent="0.3">
      <c r="A31">
        <f t="shared" si="6"/>
        <v>22</v>
      </c>
      <c r="B31" t="str">
        <f>RIGHT('IAC Industrial Averages'!A60,LEN('IAC Industrial Averages'!A60)-7)</f>
        <v>USE SOLAR HEAT TO HEAT WATER</v>
      </c>
      <c r="C31" s="176">
        <f>'IAC Industrial Averages'!D13</f>
        <v>9.2080257059426428E-3</v>
      </c>
      <c r="D31" s="387">
        <f t="shared" si="8"/>
        <v>0.5</v>
      </c>
      <c r="E31" s="388">
        <f>'IAC Industrial Averages'!C60</f>
        <v>0.05</v>
      </c>
      <c r="F31" s="389">
        <f>Table18[[#This Row],[% of Industrial Customers Adopting End-Use Efficiency Measures by 2040*]]*Table18[[#This Row],[% Electricity Savings Compared to Baseline]]*Table18[[#This Row],[% of Industrial Customers for Whom Measure is Viable**]]</f>
        <v>2.3020064264856607E-4</v>
      </c>
    </row>
    <row r="32" spans="1:31" x14ac:dyDescent="0.3">
      <c r="A32">
        <f t="shared" si="6"/>
        <v>23</v>
      </c>
      <c r="B32" t="str">
        <f>RIGHT('IAC Industrial Averages'!A77,LEN('IAC Industrial Averages'!A77)-7)</f>
        <v>MAINTAIN AIR FILTERS BY CLEANING OR REPLACEMENT</v>
      </c>
      <c r="C32" s="176">
        <f>'IAC Industrial Averages'!D30</f>
        <v>3.1195609133637266E-3</v>
      </c>
      <c r="D32" s="387">
        <f t="shared" si="8"/>
        <v>0.5</v>
      </c>
      <c r="E32" s="388">
        <f>'IAC Industrial Averages'!C77</f>
        <v>0.15</v>
      </c>
      <c r="F32" s="389">
        <f>Table18[[#This Row],[% of Industrial Customers Adopting End-Use Efficiency Measures by 2040*]]*Table18[[#This Row],[% Electricity Savings Compared to Baseline]]*Table18[[#This Row],[% of Industrial Customers for Whom Measure is Viable**]]</f>
        <v>2.339670685022795E-4</v>
      </c>
    </row>
    <row r="33" spans="1:40" x14ac:dyDescent="0.3">
      <c r="A33">
        <f t="shared" si="6"/>
        <v>24</v>
      </c>
      <c r="B33" t="str">
        <f>RIGHT('IAC Industrial Averages'!A55,LEN('IAC Industrial Averages'!A55)-7)</f>
        <v>USE MOST EFFICIENT TYPE OF ELECTRIC MOTORS</v>
      </c>
      <c r="C33" s="176">
        <f>'IAC Industrial Averages'!D8</f>
        <v>1.4360284306703962E-2</v>
      </c>
      <c r="D33" s="387">
        <f t="shared" si="8"/>
        <v>0.5</v>
      </c>
      <c r="E33" s="388">
        <f>'IAC Industrial Averages'!C55</f>
        <v>0.05</v>
      </c>
      <c r="F33" s="389">
        <f>Table18[[#This Row],[% of Industrial Customers Adopting End-Use Efficiency Measures by 2040*]]*Table18[[#This Row],[% Electricity Savings Compared to Baseline]]*Table18[[#This Row],[% of Industrial Customers for Whom Measure is Viable**]]</f>
        <v>3.5900710766759907E-4</v>
      </c>
    </row>
    <row r="34" spans="1:40" x14ac:dyDescent="0.3">
      <c r="A34">
        <f t="shared" si="6"/>
        <v>25</v>
      </c>
      <c r="B34" t="str">
        <f>RIGHT('IAC Industrial Averages'!A80,LEN('IAC Industrial Averages'!A80)-7)</f>
        <v>RE-USE OR RECYCLE HOT OR COLD PROCESS EXHAUST AIR</v>
      </c>
      <c r="C34" s="176">
        <f>'IAC Industrial Averages'!D33</f>
        <v>1.6630094043887149E-2</v>
      </c>
      <c r="D34" s="387">
        <f t="shared" si="8"/>
        <v>0.5</v>
      </c>
      <c r="E34" s="388">
        <f>'IAC Industrial Averages'!C80</f>
        <v>0.05</v>
      </c>
      <c r="F34" s="389">
        <f>Table18[[#This Row],[% of Industrial Customers Adopting End-Use Efficiency Measures by 2040*]]*Table18[[#This Row],[% Electricity Savings Compared to Baseline]]*Table18[[#This Row],[% of Industrial Customers for Whom Measure is Viable**]]</f>
        <v>4.1575235109717876E-4</v>
      </c>
    </row>
    <row r="35" spans="1:40" x14ac:dyDescent="0.3">
      <c r="A35">
        <f t="shared" si="6"/>
        <v>26</v>
      </c>
      <c r="B35" t="str">
        <f>RIGHT('IAC Industrial Averages'!A76,LEN('IAC Industrial Averages'!A76)-7)</f>
        <v>INSTALL OCCUPANCY SENSORS</v>
      </c>
      <c r="C35" s="176">
        <f>'IAC Industrial Averages'!D29</f>
        <v>2.0952401771160917E-3</v>
      </c>
      <c r="D35" s="387">
        <f t="shared" si="8"/>
        <v>0.5</v>
      </c>
      <c r="E35" s="388">
        <f>'IAC Industrial Averages'!C76</f>
        <v>0.4</v>
      </c>
      <c r="F35" s="389">
        <f>Table18[[#This Row],[% of Industrial Customers Adopting End-Use Efficiency Measures by 2040*]]*Table18[[#This Row],[% Electricity Savings Compared to Baseline]]*Table18[[#This Row],[% of Industrial Customers for Whom Measure is Viable**]]</f>
        <v>4.1904803542321838E-4</v>
      </c>
    </row>
    <row r="36" spans="1:40" x14ac:dyDescent="0.3">
      <c r="A36">
        <f t="shared" si="6"/>
        <v>27</v>
      </c>
      <c r="B36" t="str">
        <f>RIGHT('IAC Industrial Averages'!A81,LEN('IAC Industrial Averages'!A81)-7)</f>
        <v>INSTALL PARTITIONS TO REDUCE SIZE OF CONDITIONED SPACE</v>
      </c>
      <c r="C36" s="176">
        <f>'IAC Industrial Averages'!D34</f>
        <v>8.2609479072981891E-3</v>
      </c>
      <c r="D36" s="387">
        <f t="shared" si="8"/>
        <v>0.5</v>
      </c>
      <c r="E36" s="388">
        <f>'IAC Industrial Averages'!C81</f>
        <v>0.15</v>
      </c>
      <c r="F36" s="389">
        <f>Table18[[#This Row],[% of Industrial Customers Adopting End-Use Efficiency Measures by 2040*]]*Table18[[#This Row],[% Electricity Savings Compared to Baseline]]*Table18[[#This Row],[% of Industrial Customers for Whom Measure is Viable**]]</f>
        <v>6.1957109304736416E-4</v>
      </c>
    </row>
    <row r="37" spans="1:40" x14ac:dyDescent="0.3">
      <c r="A37">
        <f t="shared" si="6"/>
        <v>28</v>
      </c>
      <c r="B37" t="str">
        <f>RIGHT('IAC Industrial Averages'!A72,LEN('IAC Industrial Averages'!A72)-7)</f>
        <v>USE OPTIMUM SIZE AND CAPACITY EQUIPMENT</v>
      </c>
      <c r="C37" s="176">
        <f>'IAC Industrial Averages'!D25</f>
        <v>4.1782263263355534E-3</v>
      </c>
      <c r="D37" s="387">
        <f t="shared" si="8"/>
        <v>0.5</v>
      </c>
      <c r="E37" s="388">
        <f>'IAC Industrial Averages'!C72</f>
        <v>0.35</v>
      </c>
      <c r="F37" s="389">
        <f>Table18[[#This Row],[% of Industrial Customers Adopting End-Use Efficiency Measures by 2040*]]*Table18[[#This Row],[% Electricity Savings Compared to Baseline]]*Table18[[#This Row],[% of Industrial Customers for Whom Measure is Viable**]]</f>
        <v>7.3118960710872184E-4</v>
      </c>
    </row>
    <row r="38" spans="1:40" x14ac:dyDescent="0.3">
      <c r="A38">
        <f t="shared" si="6"/>
        <v>29</v>
      </c>
      <c r="B38" t="str">
        <f>RIGHT('IAC Industrial Averages'!A62,LEN('IAC Industrial Averages'!A62)-7)</f>
        <v>INSTALL VINYL STRIP / HIGH SPEED / AIR CURTAIN DOORS</v>
      </c>
      <c r="C38" s="176">
        <f>'IAC Industrial Averages'!D15</f>
        <v>7.2677767206604958E-3</v>
      </c>
      <c r="D38" s="387">
        <f t="shared" si="8"/>
        <v>0.5</v>
      </c>
      <c r="E38" s="388">
        <f>'IAC Industrial Averages'!C62</f>
        <v>0.25</v>
      </c>
      <c r="F38" s="389">
        <f>Table18[[#This Row],[% of Industrial Customers Adopting End-Use Efficiency Measures by 2040*]]*Table18[[#This Row],[% Electricity Savings Compared to Baseline]]*Table18[[#This Row],[% of Industrial Customers for Whom Measure is Viable**]]</f>
        <v>9.0847209008256197E-4</v>
      </c>
    </row>
    <row r="39" spans="1:40" x14ac:dyDescent="0.3">
      <c r="A39">
        <f t="shared" si="6"/>
        <v>30</v>
      </c>
      <c r="B39" t="str">
        <f>RIGHT('IAC Industrial Averages'!A88,LEN('IAC Industrial Averages'!A88)-7)</f>
        <v>UTILIZE A LESS EXPENSIVE COOLING METHOD</v>
      </c>
      <c r="C39" s="176">
        <f>'IAC Industrial Averages'!D41</f>
        <v>2.4455442946427843E-2</v>
      </c>
      <c r="D39" s="387">
        <f t="shared" si="8"/>
        <v>0.5</v>
      </c>
      <c r="E39" s="388">
        <f>'IAC Industrial Averages'!C88</f>
        <v>0.1</v>
      </c>
      <c r="F39" s="389">
        <f>Table18[[#This Row],[% of Industrial Customers Adopting End-Use Efficiency Measures by 2040*]]*Table18[[#This Row],[% Electricity Savings Compared to Baseline]]*Table18[[#This Row],[% of Industrial Customers for Whom Measure is Viable**]]</f>
        <v>1.2227721473213923E-3</v>
      </c>
    </row>
    <row r="40" spans="1:40" x14ac:dyDescent="0.3">
      <c r="A40">
        <f t="shared" si="6"/>
        <v>31</v>
      </c>
      <c r="B40" t="str">
        <f>RIGHT('IAC Industrial Averages'!A79,LEN('IAC Industrial Averages'!A79)-7)&amp;"***"</f>
        <v>INSULATE GLAZING, WALLS, CEILINGS, AND ROOFS***</v>
      </c>
      <c r="C40" s="176">
        <f>('IAC Industrial Averages'!D32+8%)/2</f>
        <v>5.1481492645285752E-2</v>
      </c>
      <c r="D40" s="387">
        <f t="shared" si="8"/>
        <v>0.5</v>
      </c>
      <c r="E40" s="388">
        <f>'IAC Industrial Averages'!C79</f>
        <v>0.05</v>
      </c>
      <c r="F40" s="389">
        <f>Table18[[#This Row],[% of Industrial Customers Adopting End-Use Efficiency Measures by 2040*]]*Table18[[#This Row],[% Electricity Savings Compared to Baseline]]*Table18[[#This Row],[% of Industrial Customers for Whom Measure is Viable**]]</f>
        <v>1.2870373161321439E-3</v>
      </c>
    </row>
    <row r="41" spans="1:40" x14ac:dyDescent="0.3">
      <c r="A41">
        <f t="shared" si="6"/>
        <v>32</v>
      </c>
      <c r="B41" t="str">
        <f>RIGHT('IAC Industrial Averages'!A89,LEN('IAC Industrial Averages'!A89)-7)</f>
        <v>CLOSE HOLES AND OPENINGS IN BUILDING SUCH AS BROKEN WINDOWS</v>
      </c>
      <c r="C41" s="176">
        <f>'IAC Industrial Averages'!D42</f>
        <v>5.7112221397498594E-2</v>
      </c>
      <c r="D41" s="387">
        <f t="shared" si="8"/>
        <v>0.5</v>
      </c>
      <c r="E41" s="388">
        <f>'IAC Industrial Averages'!C89</f>
        <v>0.05</v>
      </c>
      <c r="F41" s="389">
        <f>Table18[[#This Row],[% of Industrial Customers Adopting End-Use Efficiency Measures by 2040*]]*Table18[[#This Row],[% Electricity Savings Compared to Baseline]]*Table18[[#This Row],[% of Industrial Customers for Whom Measure is Viable**]]</f>
        <v>1.4278055349374649E-3</v>
      </c>
      <c r="AJ41" t="s">
        <v>554</v>
      </c>
      <c r="AK41" s="9">
        <v>2.7915846853713986E-2</v>
      </c>
      <c r="AL41" t="str">
        <f t="shared" ref="AL41:AL52" si="9">LOWER(AJ41)</f>
        <v>use adjustable frequency drive motors</v>
      </c>
      <c r="AM41" t="s">
        <v>555</v>
      </c>
      <c r="AN41" s="9">
        <v>2.7915846853713986E-2</v>
      </c>
    </row>
    <row r="42" spans="1:40" x14ac:dyDescent="0.3">
      <c r="A42">
        <f t="shared" si="6"/>
        <v>33</v>
      </c>
      <c r="B42" t="str">
        <f>RIGHT('IAC Industrial Averages'!A82,LEN('IAC Industrial Averages'!A82)-7)</f>
        <v>INSTALL / REPAIR INSULATION ON STEAM LINES</v>
      </c>
      <c r="C42" s="176">
        <f>'IAC Industrial Averages'!D35</f>
        <v>2.8344071394901638E-2</v>
      </c>
      <c r="D42" s="387">
        <f t="shared" si="8"/>
        <v>0.5</v>
      </c>
      <c r="E42" s="388">
        <f>'IAC Industrial Averages'!C82</f>
        <v>0.15</v>
      </c>
      <c r="F42" s="389">
        <f>Table18[[#This Row],[% of Industrial Customers Adopting End-Use Efficiency Measures by 2040*]]*Table18[[#This Row],[% Electricity Savings Compared to Baseline]]*Table18[[#This Row],[% of Industrial Customers for Whom Measure is Viable**]]</f>
        <v>2.1258053546176227E-3</v>
      </c>
      <c r="AJ42" t="s">
        <v>556</v>
      </c>
      <c r="AK42" s="9">
        <v>2.8344071394901638E-2</v>
      </c>
      <c r="AL42" t="str">
        <f t="shared" si="9"/>
        <v>install / repair insulation on steam lines</v>
      </c>
      <c r="AM42" t="s">
        <v>557</v>
      </c>
      <c r="AN42" s="9">
        <v>2.8344071394901638E-2</v>
      </c>
    </row>
    <row r="43" spans="1:40" ht="15" thickBot="1" x14ac:dyDescent="0.35">
      <c r="A43">
        <f t="shared" si="6"/>
        <v>34</v>
      </c>
      <c r="B43" t="str">
        <f>RIGHT('IAC Industrial Averages'!A61,LEN('IAC Industrial Averages'!A61)-7)</f>
        <v>ELIMINATE OR REDUCE COMPRESSED AIR USAGE</v>
      </c>
      <c r="C43" s="176">
        <f>'IAC Industrial Averages'!D14</f>
        <v>8.8350308382276633E-3</v>
      </c>
      <c r="D43" s="387">
        <f t="shared" si="8"/>
        <v>0.5</v>
      </c>
      <c r="E43" s="388">
        <f>'IAC Industrial Averages'!C61</f>
        <v>0.55000000000000004</v>
      </c>
      <c r="F43" s="389">
        <f>Table18[[#This Row],[% of Industrial Customers Adopting End-Use Efficiency Measures by 2040*]]*Table18[[#This Row],[% Electricity Savings Compared to Baseline]]*Table18[[#This Row],[% of Industrial Customers for Whom Measure is Viable**]]</f>
        <v>2.4296334805126076E-3</v>
      </c>
      <c r="AJ43" t="s">
        <v>558</v>
      </c>
      <c r="AK43" s="9">
        <v>0.04</v>
      </c>
      <c r="AL43" t="str">
        <f t="shared" si="9"/>
        <v>implement energy monitoring system</v>
      </c>
      <c r="AM43" t="s">
        <v>559</v>
      </c>
      <c r="AN43" s="9">
        <v>0.04</v>
      </c>
    </row>
    <row r="44" spans="1:40" x14ac:dyDescent="0.3">
      <c r="A44">
        <f t="shared" si="6"/>
        <v>35</v>
      </c>
      <c r="B44" t="str">
        <f>RIGHT('IAC Industrial Averages'!A84,LEN('IAC Industrial Averages'!A84)-7)</f>
        <v>USE OR REPLACE WITH ENERGY EFFICIENT SUBSTITUTES</v>
      </c>
      <c r="C44" s="176">
        <f>'IAC Industrial Averages'!D37</f>
        <v>2.4704899388124632E-2</v>
      </c>
      <c r="D44" s="387">
        <f t="shared" si="8"/>
        <v>0.5</v>
      </c>
      <c r="E44" s="388">
        <f>'IAC Industrial Averages'!C84</f>
        <v>0.2</v>
      </c>
      <c r="F44" s="389">
        <f>Table18[[#This Row],[% of Industrial Customers Adopting End-Use Efficiency Measures by 2040*]]*Table18[[#This Row],[% Electricity Savings Compared to Baseline]]*Table18[[#This Row],[% of Industrial Customers for Whom Measure is Viable**]]</f>
        <v>2.4704899388124633E-3</v>
      </c>
      <c r="H44" s="68" t="str">
        <f t="shared" ref="H44:AD44" si="10">H16</f>
        <v>S-Curve</v>
      </c>
      <c r="I44" s="69" t="str">
        <f t="shared" si="10"/>
        <v>% Adoption</v>
      </c>
      <c r="J44" s="69">
        <f t="shared" si="10"/>
        <v>2020</v>
      </c>
      <c r="K44" s="69">
        <f t="shared" si="10"/>
        <v>2021</v>
      </c>
      <c r="L44" s="69">
        <f t="shared" si="10"/>
        <v>2022</v>
      </c>
      <c r="M44" s="69">
        <f t="shared" si="10"/>
        <v>2023</v>
      </c>
      <c r="N44" s="69">
        <f t="shared" si="10"/>
        <v>2024</v>
      </c>
      <c r="O44" s="69">
        <f t="shared" si="10"/>
        <v>2025</v>
      </c>
      <c r="P44" s="69">
        <f t="shared" si="10"/>
        <v>2026</v>
      </c>
      <c r="Q44" s="69">
        <f t="shared" si="10"/>
        <v>2027</v>
      </c>
      <c r="R44" s="69">
        <f t="shared" si="10"/>
        <v>2028</v>
      </c>
      <c r="S44" s="69">
        <f t="shared" si="10"/>
        <v>2029</v>
      </c>
      <c r="T44" s="69">
        <f t="shared" si="10"/>
        <v>2030</v>
      </c>
      <c r="U44" s="69">
        <f t="shared" si="10"/>
        <v>2031</v>
      </c>
      <c r="V44" s="69">
        <f t="shared" si="10"/>
        <v>2032</v>
      </c>
      <c r="W44" s="69">
        <f t="shared" si="10"/>
        <v>2033</v>
      </c>
      <c r="X44" s="69">
        <f t="shared" si="10"/>
        <v>2034</v>
      </c>
      <c r="Y44" s="69">
        <f t="shared" si="10"/>
        <v>2035</v>
      </c>
      <c r="Z44" s="69">
        <f t="shared" si="10"/>
        <v>2036</v>
      </c>
      <c r="AA44" s="69">
        <f t="shared" si="10"/>
        <v>2037</v>
      </c>
      <c r="AB44" s="69">
        <f t="shared" si="10"/>
        <v>2038</v>
      </c>
      <c r="AC44" s="69">
        <f t="shared" si="10"/>
        <v>2039</v>
      </c>
      <c r="AD44" s="16">
        <f t="shared" si="10"/>
        <v>2040</v>
      </c>
      <c r="AJ44" t="s">
        <v>560</v>
      </c>
      <c r="AK44" s="9">
        <v>5.0974008649934593E-2</v>
      </c>
      <c r="AL44" t="str">
        <f t="shared" si="9"/>
        <v>clean or color roof to reduce solar load</v>
      </c>
      <c r="AM44" t="s">
        <v>561</v>
      </c>
      <c r="AN44" s="9">
        <v>5.0974008649934593E-2</v>
      </c>
    </row>
    <row r="45" spans="1:40" x14ac:dyDescent="0.3">
      <c r="A45">
        <f t="shared" si="6"/>
        <v>36</v>
      </c>
      <c r="B45" t="str">
        <f>RIGHT('IAC Industrial Averages'!A73,LEN('IAC Industrial Averages'!A73)-7)</f>
        <v>UTILIZE AN EVAPORATIVE AIR PRE-COOLER OR OTHER HEAT EXCHANGER IN AC SYSTEM</v>
      </c>
      <c r="C45" s="176">
        <f>'IAC Industrial Averages'!D26</f>
        <v>8.3970490805235734E-2</v>
      </c>
      <c r="D45" s="387">
        <f t="shared" si="8"/>
        <v>0.5</v>
      </c>
      <c r="E45" s="388">
        <f>'IAC Industrial Averages'!C73</f>
        <v>0.1</v>
      </c>
      <c r="F45" s="389">
        <f>Table18[[#This Row],[% of Industrial Customers Adopting End-Use Efficiency Measures by 2040*]]*Table18[[#This Row],[% Electricity Savings Compared to Baseline]]*Table18[[#This Row],[% of Industrial Customers for Whom Measure is Viable**]]</f>
        <v>4.198524540261787E-3</v>
      </c>
      <c r="H45" s="70" t="str">
        <f>H17</f>
        <v>Low</v>
      </c>
      <c r="I45" s="173">
        <f>I19</f>
        <v>0.33</v>
      </c>
      <c r="J45" s="175" t="e">
        <f>SUM($J19:J19)</f>
        <v>#REF!</v>
      </c>
      <c r="K45" s="175" t="e">
        <f>SUM($J19:K19)</f>
        <v>#REF!</v>
      </c>
      <c r="L45" s="175" t="e">
        <f>SUM($J19:L19)</f>
        <v>#REF!</v>
      </c>
      <c r="M45" s="175" t="e">
        <f>SUM($J19:M19)</f>
        <v>#REF!</v>
      </c>
      <c r="N45" s="175" t="e">
        <f>SUM($J19:N19)</f>
        <v>#REF!</v>
      </c>
      <c r="O45" s="175" t="e">
        <f>SUM($J19:O19)</f>
        <v>#REF!</v>
      </c>
      <c r="P45" s="175" t="e">
        <f>SUM($J19:P19)</f>
        <v>#REF!</v>
      </c>
      <c r="Q45" s="175" t="e">
        <f>SUM($J19:Q19)</f>
        <v>#REF!</v>
      </c>
      <c r="R45" s="175" t="e">
        <f>SUM($J19:R19)</f>
        <v>#REF!</v>
      </c>
      <c r="S45" s="175" t="e">
        <f>SUM($J19:S19)</f>
        <v>#REF!</v>
      </c>
      <c r="T45" s="175" t="e">
        <f>SUM($J19:T19)</f>
        <v>#REF!</v>
      </c>
      <c r="U45" s="175" t="e">
        <f>SUM($J19:U19)</f>
        <v>#REF!</v>
      </c>
      <c r="V45" s="175" t="e">
        <f>SUM($J19:V19)</f>
        <v>#REF!</v>
      </c>
      <c r="W45" s="175" t="e">
        <f>SUM($J19:W19)</f>
        <v>#REF!</v>
      </c>
      <c r="X45" s="175" t="e">
        <f>SUM($J19:X19)</f>
        <v>#REF!</v>
      </c>
      <c r="Y45" s="175" t="e">
        <f>SUM($J19:Y19)</f>
        <v>#REF!</v>
      </c>
      <c r="Z45" s="175" t="e">
        <f>SUM($J19:Z19)</f>
        <v>#REF!</v>
      </c>
      <c r="AA45" s="175" t="e">
        <f>SUM($J19:AA19)</f>
        <v>#REF!</v>
      </c>
      <c r="AB45" s="175" t="e">
        <f>SUM($J19:AB19)</f>
        <v>#REF!</v>
      </c>
      <c r="AC45" s="175" t="e">
        <f>SUM($J19:AC19)</f>
        <v>#REF!</v>
      </c>
      <c r="AD45" s="72" t="e">
        <f>SUM($J19:AD19)</f>
        <v>#REF!</v>
      </c>
      <c r="AJ45" t="s">
        <v>562</v>
      </c>
      <c r="AK45" s="9">
        <v>5.1481492645285752E-2</v>
      </c>
      <c r="AL45" t="str">
        <f t="shared" si="9"/>
        <v>insulate glazing, walls, ceilings, and roofs</v>
      </c>
      <c r="AM45" t="s">
        <v>563</v>
      </c>
      <c r="AN45" s="9">
        <v>5.1481492645285752E-2</v>
      </c>
    </row>
    <row r="46" spans="1:40" x14ac:dyDescent="0.3">
      <c r="A46">
        <f t="shared" si="6"/>
        <v>37</v>
      </c>
      <c r="B46" t="str">
        <f>RIGHT('IAC Industrial Averages'!A68,LEN('IAC Industrial Averages'!A68)-7)</f>
        <v>INSTALL WASTE HEAT BOILER TO PRODUCE STEAM</v>
      </c>
      <c r="C46" s="176">
        <f>'IAC Industrial Averages'!D21</f>
        <v>0.19595762035537403</v>
      </c>
      <c r="D46" s="387">
        <f t="shared" si="8"/>
        <v>0.5</v>
      </c>
      <c r="E46" s="388">
        <f>'IAC Industrial Averages'!C68</f>
        <v>0.05</v>
      </c>
      <c r="F46" s="389">
        <f>Table18[[#This Row],[% of Industrial Customers Adopting End-Use Efficiency Measures by 2040*]]*Table18[[#This Row],[% Electricity Savings Compared to Baseline]]*Table18[[#This Row],[% of Industrial Customers for Whom Measure is Viable**]]</f>
        <v>4.8989405088843514E-3</v>
      </c>
      <c r="H46" s="70" t="str">
        <f>H18</f>
        <v>Med</v>
      </c>
      <c r="I46" s="173">
        <f>I20</f>
        <v>0.67</v>
      </c>
      <c r="J46" s="175" t="e">
        <f>SUM($J20:J20)</f>
        <v>#REF!</v>
      </c>
      <c r="K46" s="175" t="e">
        <f>SUM($J20:K20)</f>
        <v>#REF!</v>
      </c>
      <c r="L46" s="175" t="e">
        <f>SUM($J20:L20)</f>
        <v>#REF!</v>
      </c>
      <c r="M46" s="175" t="e">
        <f>SUM($J20:M20)</f>
        <v>#REF!</v>
      </c>
      <c r="N46" s="175" t="e">
        <f>SUM($J20:N20)</f>
        <v>#REF!</v>
      </c>
      <c r="O46" s="175" t="e">
        <f>SUM($J20:O20)</f>
        <v>#REF!</v>
      </c>
      <c r="P46" s="175" t="e">
        <f>SUM($J20:P20)</f>
        <v>#REF!</v>
      </c>
      <c r="Q46" s="175" t="e">
        <f>SUM($J20:Q20)</f>
        <v>#REF!</v>
      </c>
      <c r="R46" s="175" t="e">
        <f>SUM($J20:R20)</f>
        <v>#REF!</v>
      </c>
      <c r="S46" s="175" t="e">
        <f>SUM($J20:S20)</f>
        <v>#REF!</v>
      </c>
      <c r="T46" s="175" t="e">
        <f>SUM($J20:T20)</f>
        <v>#REF!</v>
      </c>
      <c r="U46" s="175" t="e">
        <f>SUM($J20:U20)</f>
        <v>#REF!</v>
      </c>
      <c r="V46" s="175" t="e">
        <f>SUM($J20:V20)</f>
        <v>#REF!</v>
      </c>
      <c r="W46" s="175" t="e">
        <f>SUM($J20:W20)</f>
        <v>#REF!</v>
      </c>
      <c r="X46" s="175" t="e">
        <f>SUM($J20:X20)</f>
        <v>#REF!</v>
      </c>
      <c r="Y46" s="175" t="e">
        <f>SUM($J20:Y20)</f>
        <v>#REF!</v>
      </c>
      <c r="Z46" s="175" t="e">
        <f>SUM($J20:Z20)</f>
        <v>#REF!</v>
      </c>
      <c r="AA46" s="175" t="e">
        <f>SUM($J20:AA20)</f>
        <v>#REF!</v>
      </c>
      <c r="AB46" s="175" t="e">
        <f>SUM($J20:AB20)</f>
        <v>#REF!</v>
      </c>
      <c r="AC46" s="175" t="e">
        <f>SUM($J20:AC20)</f>
        <v>#REF!</v>
      </c>
      <c r="AD46" s="72" t="e">
        <f>SUM($J20:AD20)</f>
        <v>#REF!</v>
      </c>
      <c r="AJ46" t="s">
        <v>564</v>
      </c>
      <c r="AK46" s="9">
        <v>5.6915265609722918E-2</v>
      </c>
      <c r="AL46" t="str">
        <f t="shared" si="9"/>
        <v>turn off equipment when not in use</v>
      </c>
      <c r="AM46" t="s">
        <v>565</v>
      </c>
      <c r="AN46" s="9">
        <v>5.6915265609722918E-2</v>
      </c>
    </row>
    <row r="47" spans="1:40" ht="15" thickBot="1" x14ac:dyDescent="0.35">
      <c r="A47">
        <f t="shared" si="6"/>
        <v>38</v>
      </c>
      <c r="B47" t="str">
        <f>RIGHT('IAC Industrial Averages'!A51,LEN('IAC Industrial Averages'!A51)-7)</f>
        <v>REPLACE EXISTING CHILLER WITH HIGH EFFICIENCY MODEL</v>
      </c>
      <c r="C47" s="176">
        <f>'IAC Industrial Averages'!D4</f>
        <v>0.10570114079902196</v>
      </c>
      <c r="D47" s="387">
        <f t="shared" si="8"/>
        <v>0.5</v>
      </c>
      <c r="E47" s="388">
        <f>'IAC Industrial Averages'!C51</f>
        <v>0.1</v>
      </c>
      <c r="F47" s="389">
        <f>Table18[[#This Row],[% of Industrial Customers Adopting End-Use Efficiency Measures by 2040*]]*Table18[[#This Row],[% Electricity Savings Compared to Baseline]]*Table18[[#This Row],[% of Industrial Customers for Whom Measure is Viable**]]</f>
        <v>5.2850570399510981E-3</v>
      </c>
      <c r="H47" s="73" t="s">
        <v>14</v>
      </c>
      <c r="I47" s="74">
        <f>I21</f>
        <v>1</v>
      </c>
      <c r="J47" s="75" t="e">
        <f>SUM($J21:J21)</f>
        <v>#REF!</v>
      </c>
      <c r="K47" s="75" t="e">
        <f>SUM($J21:K21)</f>
        <v>#REF!</v>
      </c>
      <c r="L47" s="75" t="e">
        <f>SUM($J21:L21)</f>
        <v>#REF!</v>
      </c>
      <c r="M47" s="75" t="e">
        <f>SUM($J21:M21)</f>
        <v>#REF!</v>
      </c>
      <c r="N47" s="75" t="e">
        <f>SUM($J21:N21)</f>
        <v>#REF!</v>
      </c>
      <c r="O47" s="75" t="e">
        <f>SUM($J21:O21)</f>
        <v>#REF!</v>
      </c>
      <c r="P47" s="75" t="e">
        <f>SUM($J21:P21)</f>
        <v>#REF!</v>
      </c>
      <c r="Q47" s="75" t="e">
        <f>SUM($J21:Q21)</f>
        <v>#REF!</v>
      </c>
      <c r="R47" s="75" t="e">
        <f>SUM($J21:R21)</f>
        <v>#REF!</v>
      </c>
      <c r="S47" s="75" t="e">
        <f>SUM($J21:S21)</f>
        <v>#REF!</v>
      </c>
      <c r="T47" s="75" t="e">
        <f>SUM($J21:T21)</f>
        <v>#REF!</v>
      </c>
      <c r="U47" s="75" t="e">
        <f>SUM($J21:U21)</f>
        <v>#REF!</v>
      </c>
      <c r="V47" s="75" t="e">
        <f>SUM($J21:V21)</f>
        <v>#REF!</v>
      </c>
      <c r="W47" s="75" t="e">
        <f>SUM($J21:W21)</f>
        <v>#REF!</v>
      </c>
      <c r="X47" s="75" t="e">
        <f>SUM($J21:X21)</f>
        <v>#REF!</v>
      </c>
      <c r="Y47" s="75" t="e">
        <f>SUM($J21:Y21)</f>
        <v>#REF!</v>
      </c>
      <c r="Z47" s="75" t="e">
        <f>SUM($J21:Z21)</f>
        <v>#REF!</v>
      </c>
      <c r="AA47" s="75" t="e">
        <f>SUM($J21:AA21)</f>
        <v>#REF!</v>
      </c>
      <c r="AB47" s="75" t="e">
        <f>SUM($J21:AB21)</f>
        <v>#REF!</v>
      </c>
      <c r="AC47" s="75" t="e">
        <f>SUM($J21:AC21)</f>
        <v>#REF!</v>
      </c>
      <c r="AD47" s="76" t="e">
        <f>SUM($J21:AD21)</f>
        <v>#REF!</v>
      </c>
      <c r="AJ47" t="s">
        <v>566</v>
      </c>
      <c r="AK47" s="9">
        <v>5.7112221397498594E-2</v>
      </c>
      <c r="AL47" t="str">
        <f t="shared" si="9"/>
        <v>close holes and openings in building</v>
      </c>
      <c r="AM47" t="s">
        <v>567</v>
      </c>
      <c r="AN47" s="9">
        <v>5.7112221397498594E-2</v>
      </c>
    </row>
    <row r="48" spans="1:40" x14ac:dyDescent="0.3">
      <c r="A48">
        <f t="shared" si="6"/>
        <v>39</v>
      </c>
      <c r="B48" t="str">
        <f>RIGHT('IAC Industrial Averages'!A70,LEN('IAC Industrial Averages'!A70)-7)</f>
        <v>UTILIZE HIGHER EFFICIENCY LAMPS AND/OR BALLASTS</v>
      </c>
      <c r="C48" s="176">
        <f>'IAC Industrial Averages'!D23</f>
        <v>2.2055585398394157E-2</v>
      </c>
      <c r="D48" s="387">
        <f t="shared" si="8"/>
        <v>0.5</v>
      </c>
      <c r="E48" s="388">
        <f>'IAC Industrial Averages'!C70</f>
        <v>0.5</v>
      </c>
      <c r="F48" s="389">
        <f>Table18[[#This Row],[% of Industrial Customers Adopting End-Use Efficiency Measures by 2040*]]*Table18[[#This Row],[% Electricity Savings Compared to Baseline]]*Table18[[#This Row],[% of Industrial Customers for Whom Measure is Viable**]]</f>
        <v>5.5138963495985393E-3</v>
      </c>
      <c r="H48" s="70" t="str">
        <f>H20</f>
        <v>Med</v>
      </c>
      <c r="I48" s="173">
        <f>I22</f>
        <v>0</v>
      </c>
      <c r="J48" s="173">
        <f>J22</f>
        <v>0</v>
      </c>
      <c r="K48" s="175"/>
      <c r="L48" s="175"/>
      <c r="M48" s="175"/>
      <c r="N48" s="175"/>
      <c r="O48" s="175"/>
      <c r="P48" s="175"/>
      <c r="Q48" s="175"/>
      <c r="R48" s="175"/>
      <c r="S48" s="175"/>
      <c r="T48" s="175"/>
      <c r="U48" s="175"/>
      <c r="V48" s="175"/>
      <c r="W48" s="175"/>
      <c r="X48" s="175"/>
      <c r="Y48" s="175"/>
      <c r="Z48" s="175"/>
      <c r="AA48" s="175"/>
      <c r="AB48" s="175"/>
      <c r="AC48" s="175"/>
      <c r="AD48" s="72"/>
      <c r="AJ48" t="s">
        <v>568</v>
      </c>
      <c r="AK48" s="9">
        <v>0.06</v>
      </c>
      <c r="AL48" t="str">
        <f t="shared" si="9"/>
        <v>hire energy program management</v>
      </c>
      <c r="AM48" t="s">
        <v>569</v>
      </c>
      <c r="AN48" s="9">
        <v>0.06</v>
      </c>
    </row>
    <row r="49" spans="1:40" x14ac:dyDescent="0.3">
      <c r="A49">
        <f t="shared" si="6"/>
        <v>40</v>
      </c>
      <c r="B49" t="str">
        <f>RIGHT('IAC Industrial Averages'!A57,LEN('IAC Industrial Averages'!A57)-7)</f>
        <v>ELIMINATE LEAKS IN INERT GAS AND COMPRESSED AIR LINES/ VALVES</v>
      </c>
      <c r="C49" s="176">
        <f>'IAC Industrial Averages'!D10</f>
        <v>1.2309535079488329E-2</v>
      </c>
      <c r="D49" s="387">
        <f t="shared" si="8"/>
        <v>0.5</v>
      </c>
      <c r="E49" s="388">
        <f>'IAC Industrial Averages'!C57</f>
        <v>0.95</v>
      </c>
      <c r="F49" s="389">
        <f>Table18[[#This Row],[% of Industrial Customers Adopting End-Use Efficiency Measures by 2040*]]*Table18[[#This Row],[% Electricity Savings Compared to Baseline]]*Table18[[#This Row],[% of Industrial Customers for Whom Measure is Viable**]]</f>
        <v>5.8470291627569556E-3</v>
      </c>
      <c r="AJ49" t="s">
        <v>570</v>
      </c>
      <c r="AK49" s="9">
        <v>8.3970490805235734E-2</v>
      </c>
      <c r="AL49" t="str">
        <f t="shared" si="9"/>
        <v>utilize an evaporative air pre-cooler</v>
      </c>
      <c r="AM49" t="s">
        <v>571</v>
      </c>
      <c r="AN49" s="9">
        <v>8.3970490805235734E-2</v>
      </c>
    </row>
    <row r="50" spans="1:40" x14ac:dyDescent="0.3">
      <c r="A50">
        <f t="shared" si="6"/>
        <v>41</v>
      </c>
      <c r="B50" t="str">
        <f>RIGHT('IAC Industrial Averages'!A63,LEN('IAC Industrial Averages'!A63)-7)</f>
        <v>LOWER TEMPERATURE DURING THE WINTER SEASON AND VICE-VERSA</v>
      </c>
      <c r="C50" s="176">
        <f>'IAC Industrial Averages'!D16</f>
        <v>2.2522249277018385E-2</v>
      </c>
      <c r="D50" s="387">
        <f t="shared" si="8"/>
        <v>0.5</v>
      </c>
      <c r="E50" s="388">
        <f>'IAC Industrial Averages'!C63</f>
        <v>0.6</v>
      </c>
      <c r="F50" s="389">
        <f>Table18[[#This Row],[% of Industrial Customers Adopting End-Use Efficiency Measures by 2040*]]*Table18[[#This Row],[% Electricity Savings Compared to Baseline]]*Table18[[#This Row],[% of Industrial Customers for Whom Measure is Viable**]]</f>
        <v>6.7566747831055152E-3</v>
      </c>
      <c r="AJ50" t="s">
        <v>572</v>
      </c>
      <c r="AK50" s="9">
        <v>0.10570114079902196</v>
      </c>
      <c r="AL50" t="str">
        <f t="shared" si="9"/>
        <v>replace chiller with high efficiency model</v>
      </c>
      <c r="AM50" t="s">
        <v>573</v>
      </c>
      <c r="AN50" s="9">
        <v>0.10570114079902196</v>
      </c>
    </row>
    <row r="51" spans="1:40" x14ac:dyDescent="0.3">
      <c r="A51">
        <f t="shared" si="6"/>
        <v>42</v>
      </c>
      <c r="B51" t="str">
        <f>RIGHT('IAC Industrial Averages'!A53,LEN('IAC Industrial Averages'!A53)-7)</f>
        <v>USE ADJUSTABLE FREQUENCY DRIVE OR MULTIPLE SPEED MOTORS ON EXISTING SYSTEM</v>
      </c>
      <c r="C51" s="176">
        <f>'IAC Industrial Averages'!D6</f>
        <v>2.7915846853713986E-2</v>
      </c>
      <c r="D51" s="387">
        <f t="shared" si="8"/>
        <v>0.5</v>
      </c>
      <c r="E51" s="388">
        <f>'IAC Industrial Averages'!C53</f>
        <v>0.5</v>
      </c>
      <c r="F51" s="389">
        <f>Table18[[#This Row],[% of Industrial Customers Adopting End-Use Efficiency Measures by 2040*]]*Table18[[#This Row],[% Electricity Savings Compared to Baseline]]*Table18[[#This Row],[% of Industrial Customers for Whom Measure is Viable**]]</f>
        <v>6.9789617134284965E-3</v>
      </c>
      <c r="AJ51" t="s">
        <v>574</v>
      </c>
      <c r="AK51" s="9">
        <v>0.19595762035537403</v>
      </c>
      <c r="AL51" t="str">
        <f t="shared" si="9"/>
        <v>install waste heat boiler to produce steam</v>
      </c>
      <c r="AM51" t="s">
        <v>575</v>
      </c>
      <c r="AN51" s="9">
        <v>0.19595762035537403</v>
      </c>
    </row>
    <row r="52" spans="1:40" x14ac:dyDescent="0.3">
      <c r="A52">
        <f t="shared" si="6"/>
        <v>43</v>
      </c>
      <c r="B52" t="str">
        <f>RIGHT('IAC Industrial Averages'!A74,LEN('IAC Industrial Averages'!A74)-7)</f>
        <v>TURN OFF EQUIPMENT WHEN NOT IN USE</v>
      </c>
      <c r="C52" s="176">
        <f>'IAC Industrial Averages'!D27</f>
        <v>5.6915265609722918E-2</v>
      </c>
      <c r="D52" s="387">
        <f t="shared" si="8"/>
        <v>0.5</v>
      </c>
      <c r="E52" s="388">
        <f>'IAC Industrial Averages'!C74</f>
        <v>0.35</v>
      </c>
      <c r="F52" s="389">
        <f>Table18[[#This Row],[% of Industrial Customers Adopting End-Use Efficiency Measures by 2040*]]*Table18[[#This Row],[% Electricity Savings Compared to Baseline]]*Table18[[#This Row],[% of Industrial Customers for Whom Measure is Viable**]]</f>
        <v>9.9601714817015106E-3</v>
      </c>
      <c r="AJ52" t="s">
        <v>576</v>
      </c>
      <c r="AK52" s="9">
        <v>0.49941983826296371</v>
      </c>
      <c r="AL52" t="str">
        <f t="shared" si="9"/>
        <v>use a fossil fuel engine to cogenerate</v>
      </c>
      <c r="AM52" t="s">
        <v>577</v>
      </c>
      <c r="AN52" s="9">
        <v>0.49941983826296371</v>
      </c>
    </row>
    <row r="53" spans="1:40" x14ac:dyDescent="0.3">
      <c r="A53">
        <f t="shared" si="6"/>
        <v>44</v>
      </c>
      <c r="B53" t="str">
        <f>RIGHT('IAC Industrial Averages'!A52,LEN('IAC Industrial Averages'!A52)-7)</f>
        <v>CLEAN OR COLOR ROOF TO REDUCE SOLAR LOAD</v>
      </c>
      <c r="C53" s="176">
        <f>'IAC Industrial Averages'!D5</f>
        <v>5.0974008649934593E-2</v>
      </c>
      <c r="D53" s="387">
        <f t="shared" si="8"/>
        <v>0.5</v>
      </c>
      <c r="E53" s="388">
        <f>'IAC Industrial Averages'!C52</f>
        <v>0.4</v>
      </c>
      <c r="F53" s="389">
        <f>Table18[[#This Row],[% of Industrial Customers Adopting End-Use Efficiency Measures by 2040*]]*Table18[[#This Row],[% Electricity Savings Compared to Baseline]]*Table18[[#This Row],[% of Industrial Customers for Whom Measure is Viable**]]</f>
        <v>1.019480172998692E-2</v>
      </c>
    </row>
    <row r="54" spans="1:40" x14ac:dyDescent="0.3">
      <c r="A54">
        <f t="shared" si="6"/>
        <v>45</v>
      </c>
      <c r="B54" t="s">
        <v>578</v>
      </c>
      <c r="C54" s="176">
        <v>0.04</v>
      </c>
      <c r="D54" s="387">
        <f t="shared" si="8"/>
        <v>0.5</v>
      </c>
      <c r="E54" s="388">
        <v>1</v>
      </c>
      <c r="F54" s="389">
        <f>Table18[[#This Row],[% of Industrial Customers Adopting End-Use Efficiency Measures by 2040*]]*Table18[[#This Row],[% Electricity Savings Compared to Baseline]]*Table18[[#This Row],[% of Industrial Customers for Whom Measure is Viable**]]</f>
        <v>0.02</v>
      </c>
    </row>
    <row r="55" spans="1:40" x14ac:dyDescent="0.3">
      <c r="A55">
        <f t="shared" si="6"/>
        <v>46</v>
      </c>
      <c r="B55" t="s">
        <v>579</v>
      </c>
      <c r="C55" s="176">
        <v>0.06</v>
      </c>
      <c r="D55" s="390">
        <f t="shared" si="8"/>
        <v>0.5</v>
      </c>
      <c r="E55" s="388">
        <v>1</v>
      </c>
      <c r="F55" s="389">
        <f>Table18[[#This Row],[% of Industrial Customers Adopting End-Use Efficiency Measures by 2040*]]*Table18[[#This Row],[% Electricity Savings Compared to Baseline]]*Table18[[#This Row],[% of Industrial Customers for Whom Measure is Viable**]]</f>
        <v>0.03</v>
      </c>
    </row>
    <row r="57" spans="1:40" x14ac:dyDescent="0.3">
      <c r="B57" s="24" t="s">
        <v>509</v>
      </c>
    </row>
    <row r="58" spans="1:40" x14ac:dyDescent="0.3">
      <c r="B58" t="s">
        <v>580</v>
      </c>
    </row>
    <row r="59" spans="1:40" x14ac:dyDescent="0.3">
      <c r="B59" t="s">
        <v>929</v>
      </c>
    </row>
    <row r="60" spans="1:40" x14ac:dyDescent="0.3">
      <c r="B60" t="s">
        <v>582</v>
      </c>
    </row>
    <row r="61" spans="1:40" x14ac:dyDescent="0.3">
      <c r="B61" t="s">
        <v>583</v>
      </c>
    </row>
    <row r="62" spans="1:40" x14ac:dyDescent="0.3">
      <c r="B62" t="s">
        <v>584</v>
      </c>
    </row>
    <row r="63" spans="1:40" x14ac:dyDescent="0.3">
      <c r="B63" s="9"/>
      <c r="C63" s="14"/>
    </row>
    <row r="64" spans="1:40" x14ac:dyDescent="0.3">
      <c r="B64" s="9"/>
      <c r="C64" s="14"/>
    </row>
    <row r="65" spans="2:40" x14ac:dyDescent="0.3">
      <c r="B65" s="9"/>
      <c r="C65" s="14"/>
    </row>
    <row r="66" spans="2:40" x14ac:dyDescent="0.3">
      <c r="B66" s="9"/>
      <c r="C66" s="14"/>
    </row>
    <row r="67" spans="2:40" x14ac:dyDescent="0.3">
      <c r="B67" s="9"/>
      <c r="C67" s="14"/>
    </row>
    <row r="68" spans="2:40" x14ac:dyDescent="0.3">
      <c r="B68" s="23"/>
      <c r="C68" s="23"/>
      <c r="D68" s="23"/>
      <c r="E68" s="23"/>
    </row>
    <row r="69" spans="2:40" x14ac:dyDescent="0.3">
      <c r="B69" s="23"/>
      <c r="C69" s="23"/>
      <c r="D69" s="23"/>
      <c r="E69" s="23"/>
    </row>
    <row r="70" spans="2:40" x14ac:dyDescent="0.3">
      <c r="B70" s="23"/>
      <c r="C70" s="23"/>
      <c r="D70" s="23"/>
      <c r="E70" s="23"/>
    </row>
    <row r="71" spans="2:40" x14ac:dyDescent="0.3">
      <c r="B71" s="23"/>
      <c r="C71" s="23"/>
      <c r="D71" s="23"/>
      <c r="E71" s="23"/>
    </row>
    <row r="72" spans="2:40" x14ac:dyDescent="0.3">
      <c r="B72" s="23"/>
      <c r="C72" s="23"/>
      <c r="D72" s="23"/>
      <c r="E72" s="23"/>
    </row>
    <row r="73" spans="2:40" x14ac:dyDescent="0.3">
      <c r="B73" s="23"/>
      <c r="C73" s="23"/>
      <c r="D73" s="23"/>
      <c r="E73" s="23"/>
      <c r="AJ73" t="s">
        <v>585</v>
      </c>
      <c r="AK73">
        <v>4.9409798776249266E-3</v>
      </c>
      <c r="AL73" t="str">
        <f t="shared" ref="AL73:AL84" si="11">LOWER(AJ73)</f>
        <v>use or replace with energy efficient substitutes</v>
      </c>
      <c r="AM73" t="s">
        <v>586</v>
      </c>
    </row>
    <row r="74" spans="2:40" x14ac:dyDescent="0.3">
      <c r="B74" s="23"/>
      <c r="C74" s="23"/>
      <c r="D74" s="23"/>
      <c r="E74" s="23"/>
      <c r="AJ74" t="s">
        <v>587</v>
      </c>
      <c r="AK74">
        <v>8.3970490805235741E-3</v>
      </c>
      <c r="AL74" t="str">
        <f t="shared" si="11"/>
        <v>utilize an evaporative air pre-cooler or other heat exchanger in ac system</v>
      </c>
      <c r="AM74" t="s">
        <v>571</v>
      </c>
      <c r="AN74" s="14">
        <v>8.3970490805235741E-3</v>
      </c>
    </row>
    <row r="75" spans="2:40" x14ac:dyDescent="0.3">
      <c r="B75" s="23"/>
      <c r="C75" s="23"/>
      <c r="D75" s="23"/>
      <c r="E75" s="23"/>
      <c r="AJ75" t="s">
        <v>574</v>
      </c>
      <c r="AK75">
        <v>9.7978810177687028E-3</v>
      </c>
      <c r="AL75" t="str">
        <f t="shared" si="11"/>
        <v>install waste heat boiler to produce steam</v>
      </c>
      <c r="AM75" t="s">
        <v>575</v>
      </c>
      <c r="AN75" s="14">
        <v>9.7978810177687028E-3</v>
      </c>
    </row>
    <row r="76" spans="2:40" x14ac:dyDescent="0.3">
      <c r="B76" s="23"/>
      <c r="C76" s="23"/>
      <c r="D76" s="23"/>
      <c r="E76" s="23"/>
      <c r="AJ76" t="s">
        <v>588</v>
      </c>
      <c r="AK76">
        <v>1.0570114079902196E-2</v>
      </c>
      <c r="AL76" t="str">
        <f t="shared" si="11"/>
        <v>replace existing chiller with high efficiency model</v>
      </c>
      <c r="AM76" t="s">
        <v>573</v>
      </c>
      <c r="AN76" s="14">
        <v>1.0570114079902196E-2</v>
      </c>
    </row>
    <row r="77" spans="2:40" x14ac:dyDescent="0.3">
      <c r="B77" s="23"/>
      <c r="C77" s="23"/>
      <c r="D77" s="23"/>
      <c r="E77" s="23"/>
      <c r="AJ77" t="s">
        <v>589</v>
      </c>
      <c r="AK77">
        <v>1.1027792699197079E-2</v>
      </c>
      <c r="AL77" t="str">
        <f t="shared" si="11"/>
        <v>utilize higher efficiency lamps and/or ballasts</v>
      </c>
      <c r="AM77" t="s">
        <v>590</v>
      </c>
      <c r="AN77" s="14">
        <v>1.1027792699197079E-2</v>
      </c>
    </row>
    <row r="78" spans="2:40" x14ac:dyDescent="0.3">
      <c r="B78" s="23"/>
      <c r="C78" s="23"/>
      <c r="D78" s="23"/>
      <c r="E78" s="23"/>
      <c r="AJ78" t="s">
        <v>591</v>
      </c>
      <c r="AK78">
        <v>1.1694058325513911E-2</v>
      </c>
      <c r="AL78" t="str">
        <f t="shared" si="11"/>
        <v>eliminate leaks in inert gas and compressed air lines/ valves</v>
      </c>
      <c r="AM78" t="s">
        <v>592</v>
      </c>
      <c r="AN78" s="14">
        <v>1.1694058325513911E-2</v>
      </c>
    </row>
    <row r="79" spans="2:40" x14ac:dyDescent="0.3">
      <c r="B79" s="23"/>
      <c r="C79" s="23"/>
      <c r="D79" s="23"/>
      <c r="E79" s="23"/>
      <c r="AJ79" t="s">
        <v>593</v>
      </c>
      <c r="AK79">
        <v>1.351334956621103E-2</v>
      </c>
      <c r="AL79" t="str">
        <f t="shared" si="11"/>
        <v>lower temperature during the winter season and vice-versa</v>
      </c>
      <c r="AM79" t="s">
        <v>594</v>
      </c>
      <c r="AN79" s="14">
        <v>1.351334956621103E-2</v>
      </c>
    </row>
    <row r="80" spans="2:40" x14ac:dyDescent="0.3">
      <c r="B80" s="9"/>
      <c r="C80" s="14"/>
      <c r="AJ80" t="s">
        <v>595</v>
      </c>
      <c r="AK80">
        <v>1.3957923426856993E-2</v>
      </c>
      <c r="AL80" t="str">
        <f t="shared" si="11"/>
        <v>use adjustable frequency drive or multiple speed motors on existing system</v>
      </c>
      <c r="AM80" t="s">
        <v>555</v>
      </c>
      <c r="AN80" s="14">
        <v>1.3957923426856993E-2</v>
      </c>
    </row>
    <row r="81" spans="2:40" x14ac:dyDescent="0.3">
      <c r="B81" s="9"/>
      <c r="C81" s="14"/>
      <c r="AJ81" t="s">
        <v>564</v>
      </c>
      <c r="AK81">
        <v>1.9920342963403021E-2</v>
      </c>
      <c r="AL81" t="str">
        <f t="shared" si="11"/>
        <v>turn off equipment when not in use</v>
      </c>
      <c r="AM81" t="s">
        <v>565</v>
      </c>
      <c r="AN81" s="14">
        <v>1.9920342963403021E-2</v>
      </c>
    </row>
    <row r="82" spans="2:40" x14ac:dyDescent="0.3">
      <c r="AJ82" t="s">
        <v>560</v>
      </c>
      <c r="AK82">
        <v>2.0389603459973839E-2</v>
      </c>
      <c r="AL82" t="str">
        <f t="shared" si="11"/>
        <v>clean or color roof to reduce solar load</v>
      </c>
      <c r="AM82" t="s">
        <v>561</v>
      </c>
      <c r="AN82" s="14">
        <v>2.0389603459973839E-2</v>
      </c>
    </row>
    <row r="83" spans="2:40" x14ac:dyDescent="0.3">
      <c r="AJ83" t="s">
        <v>578</v>
      </c>
      <c r="AK83">
        <v>0.04</v>
      </c>
      <c r="AL83" t="str">
        <f t="shared" si="11"/>
        <v>implement energy monitoring system****</v>
      </c>
      <c r="AM83" t="s">
        <v>559</v>
      </c>
      <c r="AN83" s="14">
        <v>0.04</v>
      </c>
    </row>
    <row r="84" spans="2:40" x14ac:dyDescent="0.3">
      <c r="AJ84" t="s">
        <v>579</v>
      </c>
      <c r="AK84">
        <v>0.06</v>
      </c>
      <c r="AL84" t="str">
        <f t="shared" si="11"/>
        <v>hire (in house or contract) energy program management****</v>
      </c>
      <c r="AM84" t="s">
        <v>569</v>
      </c>
      <c r="AN84" s="14">
        <v>0.06</v>
      </c>
    </row>
    <row r="86" spans="2:40" x14ac:dyDescent="0.3">
      <c r="B86" s="23"/>
      <c r="C86" s="23"/>
      <c r="D86" s="23"/>
      <c r="E86" s="23"/>
    </row>
    <row r="87" spans="2:40" x14ac:dyDescent="0.3">
      <c r="B87" s="23"/>
      <c r="C87" s="23"/>
      <c r="D87" s="23"/>
      <c r="E87" s="23"/>
    </row>
    <row r="88" spans="2:40" x14ac:dyDescent="0.3">
      <c r="B88" s="23"/>
      <c r="C88" s="23"/>
      <c r="D88" s="23"/>
      <c r="E88" s="23"/>
    </row>
    <row r="89" spans="2:40" x14ac:dyDescent="0.3">
      <c r="B89" s="23"/>
      <c r="C89" s="23"/>
      <c r="D89" s="23"/>
      <c r="E89" s="23"/>
    </row>
    <row r="90" spans="2:40" x14ac:dyDescent="0.3">
      <c r="B90" s="23"/>
      <c r="C90" s="63"/>
      <c r="D90" s="63"/>
      <c r="E90" s="63"/>
    </row>
    <row r="91" spans="2:40" x14ac:dyDescent="0.3">
      <c r="B91" s="23"/>
      <c r="C91" s="63"/>
      <c r="D91" s="63"/>
      <c r="E91" s="63"/>
    </row>
  </sheetData>
  <mergeCells count="3">
    <mergeCell ref="B1:I2"/>
    <mergeCell ref="D7:F7"/>
    <mergeCell ref="D6:F6"/>
  </mergeCells>
  <pageMargins left="0.7" right="0.7" top="0.75" bottom="0.75" header="0.3" footer="0.3"/>
  <pageSetup orientation="portrait" r:id="rId1"/>
  <ignoredErrors>
    <ignoredError sqref="B48:C48 E47:E55 B49:C54 B10:C10 E10:E34 B11:C16 D21:D22 B22:C34 B36:C36 E36:E46 B37:C47 B55:C55 B17:C21" calculatedColumn="1"/>
  </ignoredErrors>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E7282-505A-4171-BA61-7DF0EDE1885D}">
  <sheetPr codeName="Sheet16"/>
  <dimension ref="A1:AI94"/>
  <sheetViews>
    <sheetView topLeftCell="L1" workbookViewId="0">
      <selection activeCell="AF3" sqref="AF3:AF37"/>
    </sheetView>
  </sheetViews>
  <sheetFormatPr defaultRowHeight="14.4" x14ac:dyDescent="0.3"/>
  <cols>
    <col min="1" max="1" width="90.33203125" bestFit="1" customWidth="1"/>
    <col min="3" max="3" width="16.33203125" bestFit="1" customWidth="1"/>
    <col min="4" max="4" width="17.33203125" bestFit="1" customWidth="1"/>
    <col min="5" max="5" width="17.33203125" customWidth="1"/>
    <col min="6" max="15" width="9.88671875" bestFit="1" customWidth="1"/>
    <col min="18" max="19" width="9.88671875" bestFit="1" customWidth="1"/>
    <col min="25" max="25" width="12" bestFit="1" customWidth="1"/>
    <col min="27" max="27" width="10" bestFit="1" customWidth="1"/>
    <col min="35" max="35" width="12.88671875" bestFit="1" customWidth="1"/>
  </cols>
  <sheetData>
    <row r="1" spans="1:35" x14ac:dyDescent="0.3">
      <c r="B1" t="s">
        <v>227</v>
      </c>
      <c r="C1" t="s">
        <v>228</v>
      </c>
      <c r="D1" t="s">
        <v>229</v>
      </c>
      <c r="E1" t="s">
        <v>230</v>
      </c>
      <c r="F1">
        <v>359</v>
      </c>
      <c r="G1">
        <v>319</v>
      </c>
      <c r="H1">
        <v>162</v>
      </c>
      <c r="I1">
        <v>339</v>
      </c>
      <c r="J1">
        <v>351</v>
      </c>
      <c r="K1">
        <v>230</v>
      </c>
      <c r="L1">
        <v>181</v>
      </c>
      <c r="M1">
        <v>171</v>
      </c>
      <c r="N1">
        <v>185</v>
      </c>
      <c r="O1">
        <v>177</v>
      </c>
      <c r="P1">
        <v>365</v>
      </c>
      <c r="Q1">
        <v>341</v>
      </c>
      <c r="R1">
        <v>311</v>
      </c>
      <c r="S1">
        <v>300</v>
      </c>
      <c r="T1">
        <v>340</v>
      </c>
      <c r="U1">
        <v>356</v>
      </c>
      <c r="V1">
        <v>173</v>
      </c>
      <c r="W1">
        <v>233</v>
      </c>
      <c r="X1">
        <v>184</v>
      </c>
      <c r="Y1">
        <v>164</v>
      </c>
    </row>
    <row r="2" spans="1:35" x14ac:dyDescent="0.3">
      <c r="A2" t="s">
        <v>231</v>
      </c>
      <c r="F2" s="20">
        <v>25381322</v>
      </c>
      <c r="G2" s="20">
        <v>28882368</v>
      </c>
      <c r="H2" s="20">
        <v>17041200</v>
      </c>
      <c r="I2" s="20">
        <v>21357534</v>
      </c>
      <c r="J2" s="20">
        <v>22239838</v>
      </c>
      <c r="K2" s="20">
        <v>14929200</v>
      </c>
      <c r="L2" s="20">
        <v>15493680</v>
      </c>
      <c r="M2" s="20">
        <v>12876600</v>
      </c>
      <c r="N2" s="20">
        <v>11702400</v>
      </c>
      <c r="O2" s="20">
        <v>11186340</v>
      </c>
      <c r="P2" s="20">
        <v>7629666</v>
      </c>
      <c r="Q2" s="20">
        <v>8073604</v>
      </c>
      <c r="R2" s="20">
        <v>12047520</v>
      </c>
      <c r="S2" s="20">
        <v>10066672</v>
      </c>
      <c r="T2" s="20">
        <v>9134928</v>
      </c>
      <c r="U2" s="20">
        <v>6691875</v>
      </c>
      <c r="V2" s="20">
        <v>3307800</v>
      </c>
      <c r="W2" s="20">
        <v>5418475</v>
      </c>
      <c r="X2" s="20">
        <v>6433416</v>
      </c>
      <c r="Y2" s="20">
        <v>7244820</v>
      </c>
      <c r="AA2" s="2">
        <f>SUM(F2:Y2)/1000000</f>
        <v>257.13925799999998</v>
      </c>
      <c r="AB2" t="s">
        <v>232</v>
      </c>
      <c r="AF2" t="s">
        <v>944</v>
      </c>
      <c r="AG2" t="s">
        <v>942</v>
      </c>
      <c r="AH2" t="s">
        <v>943</v>
      </c>
      <c r="AI2" t="s">
        <v>945</v>
      </c>
    </row>
    <row r="3" spans="1:35" x14ac:dyDescent="0.3">
      <c r="A3" t="s">
        <v>16</v>
      </c>
      <c r="F3" s="65">
        <v>0.25742678021263038</v>
      </c>
      <c r="G3" s="65">
        <v>8.0372184164400923E-2</v>
      </c>
      <c r="H3" s="65">
        <v>0.23531312348895617</v>
      </c>
      <c r="I3" s="65">
        <v>0.43814061117730174</v>
      </c>
      <c r="J3" s="65">
        <v>5.9394677245400797E-2</v>
      </c>
      <c r="K3" s="65">
        <v>0.15989463601532566</v>
      </c>
      <c r="L3" s="65">
        <v>0.16206646839227351</v>
      </c>
      <c r="M3" s="65">
        <v>0.29246221828743613</v>
      </c>
      <c r="N3" s="65">
        <v>6.2133408531583265E-2</v>
      </c>
      <c r="O3" s="65">
        <v>3.10243564919357E-2</v>
      </c>
      <c r="P3" s="65">
        <v>0.7686079574125525</v>
      </c>
      <c r="Q3" s="65">
        <v>0.2642075335872307</v>
      </c>
      <c r="R3" s="65">
        <v>7.6194519701980157E-2</v>
      </c>
      <c r="S3" s="65">
        <v>0.21122720597234118</v>
      </c>
      <c r="T3" s="65">
        <v>1.1151819696882119</v>
      </c>
      <c r="U3" s="65">
        <v>5.5802895302138791E-2</v>
      </c>
      <c r="V3" s="65">
        <v>4.4493621137916446E-2</v>
      </c>
      <c r="W3" s="65">
        <v>0.31555446873889792</v>
      </c>
      <c r="X3" s="65">
        <v>9.8568318914865755E-2</v>
      </c>
      <c r="Y3" s="65">
        <v>0.19030810979430818</v>
      </c>
      <c r="AA3" s="14">
        <f>AA2/2128</f>
        <v>0.120836117481203</v>
      </c>
      <c r="AB3" t="s">
        <v>233</v>
      </c>
      <c r="AF3">
        <v>21</v>
      </c>
      <c r="AG3">
        <v>315</v>
      </c>
      <c r="AH3">
        <v>2017</v>
      </c>
      <c r="AI3" s="109">
        <v>6931663</v>
      </c>
    </row>
    <row r="4" spans="1:35" x14ac:dyDescent="0.3">
      <c r="A4" t="s">
        <v>234</v>
      </c>
      <c r="B4">
        <f t="shared" ref="B4:B47" si="0">COUNT(F4:Y4)</f>
        <v>2</v>
      </c>
      <c r="C4" s="65">
        <f t="shared" ref="C4:C47" si="1">IFERROR(AVERAGE(F4:Y4), "")</f>
        <v>0.10068991234574308</v>
      </c>
      <c r="D4" s="65">
        <f>IFERROR(SUM(F51:Y51)/D51, "")</f>
        <v>0.10570114079902196</v>
      </c>
      <c r="E4" s="65">
        <f t="shared" ref="E4:E47" si="2">IFERROR(D4-C4, 0)</f>
        <v>5.0112284532788792E-3</v>
      </c>
      <c r="F4" s="14">
        <v>0.11602165560958566</v>
      </c>
      <c r="G4" s="14" t="s">
        <v>235</v>
      </c>
      <c r="H4" s="14" t="s">
        <v>235</v>
      </c>
      <c r="I4" s="14" t="s">
        <v>235</v>
      </c>
      <c r="J4" s="14" t="s">
        <v>235</v>
      </c>
      <c r="K4" s="14" t="s">
        <v>235</v>
      </c>
      <c r="L4" s="14" t="s">
        <v>235</v>
      </c>
      <c r="M4" s="14">
        <v>8.5358169081900498E-2</v>
      </c>
      <c r="N4" s="14" t="s">
        <v>235</v>
      </c>
      <c r="O4" s="14" t="s">
        <v>235</v>
      </c>
      <c r="P4" s="14" t="s">
        <v>235</v>
      </c>
      <c r="Q4" s="14" t="s">
        <v>235</v>
      </c>
      <c r="R4" s="14" t="s">
        <v>235</v>
      </c>
      <c r="S4" s="14" t="s">
        <v>235</v>
      </c>
      <c r="T4" s="14" t="s">
        <v>235</v>
      </c>
      <c r="U4" s="14" t="s">
        <v>235</v>
      </c>
      <c r="V4" s="14" t="s">
        <v>235</v>
      </c>
      <c r="W4" s="14" t="s">
        <v>235</v>
      </c>
      <c r="X4" s="14" t="s">
        <v>235</v>
      </c>
      <c r="Y4" s="14" t="s">
        <v>235</v>
      </c>
      <c r="AF4">
        <v>22</v>
      </c>
      <c r="AG4">
        <v>317</v>
      </c>
      <c r="AH4">
        <v>2017</v>
      </c>
      <c r="AI4" s="109">
        <v>6711941</v>
      </c>
    </row>
    <row r="5" spans="1:35" x14ac:dyDescent="0.3">
      <c r="A5" t="s">
        <v>236</v>
      </c>
      <c r="B5">
        <f t="shared" si="0"/>
        <v>8</v>
      </c>
      <c r="C5" s="65">
        <f t="shared" si="1"/>
        <v>5.3470919114963253E-2</v>
      </c>
      <c r="D5" s="65">
        <f>IFERROR(SUM(F52:Y52)/D52, "")</f>
        <v>5.0974008649934593E-2</v>
      </c>
      <c r="E5" s="65">
        <f t="shared" si="2"/>
        <v>-2.4969104650286594E-3</v>
      </c>
      <c r="F5" s="14">
        <v>5.9558324030560737E-2</v>
      </c>
      <c r="G5" s="14">
        <v>6.0129626490459505E-2</v>
      </c>
      <c r="H5" s="14" t="s">
        <v>235</v>
      </c>
      <c r="I5" s="14" t="s">
        <v>235</v>
      </c>
      <c r="J5" s="14" t="s">
        <v>235</v>
      </c>
      <c r="K5" s="14">
        <v>3.7831765935214208E-2</v>
      </c>
      <c r="L5" s="14" t="s">
        <v>235</v>
      </c>
      <c r="M5" s="14" t="s">
        <v>235</v>
      </c>
      <c r="N5" s="14" t="s">
        <v>235</v>
      </c>
      <c r="O5" s="14" t="s">
        <v>235</v>
      </c>
      <c r="P5" s="14">
        <v>7.5385999858971547E-3</v>
      </c>
      <c r="Q5" s="14">
        <v>3.3621540021036456E-2</v>
      </c>
      <c r="R5" s="14">
        <v>1.447127707611193E-2</v>
      </c>
      <c r="S5" s="14">
        <v>5.4127520992041857E-2</v>
      </c>
      <c r="T5" s="14" t="s">
        <v>235</v>
      </c>
      <c r="U5" s="14" t="s">
        <v>235</v>
      </c>
      <c r="V5" s="14" t="s">
        <v>235</v>
      </c>
      <c r="W5" s="14">
        <v>0.1604886983883842</v>
      </c>
      <c r="X5" s="14" t="s">
        <v>235</v>
      </c>
      <c r="Y5" s="14" t="s">
        <v>235</v>
      </c>
      <c r="AF5">
        <v>23</v>
      </c>
      <c r="AG5">
        <v>355</v>
      </c>
      <c r="AH5">
        <v>2019</v>
      </c>
      <c r="AI5" s="109">
        <v>5962683</v>
      </c>
    </row>
    <row r="6" spans="1:35" x14ac:dyDescent="0.3">
      <c r="A6" t="s">
        <v>237</v>
      </c>
      <c r="B6">
        <f t="shared" si="0"/>
        <v>10</v>
      </c>
      <c r="C6" s="65">
        <f t="shared" si="1"/>
        <v>2.9055596513345928E-2</v>
      </c>
      <c r="D6" s="65">
        <f>IFERROR(SUM(F53:Y53)/D53, "")</f>
        <v>2.7915846853713986E-2</v>
      </c>
      <c r="E6" s="65">
        <f t="shared" si="2"/>
        <v>-1.1397496596319417E-3</v>
      </c>
      <c r="F6" s="14">
        <v>3.8610045607553461E-2</v>
      </c>
      <c r="G6" s="14">
        <v>1.7603023408606939E-2</v>
      </c>
      <c r="H6" s="14" t="s">
        <v>235</v>
      </c>
      <c r="I6" s="14" t="s">
        <v>235</v>
      </c>
      <c r="J6" s="14" t="s">
        <v>235</v>
      </c>
      <c r="K6" s="14">
        <v>1.1983964311550518E-2</v>
      </c>
      <c r="L6" s="14">
        <v>2.1863624393946436E-2</v>
      </c>
      <c r="M6" s="14" t="s">
        <v>235</v>
      </c>
      <c r="N6" s="14" t="s">
        <v>235</v>
      </c>
      <c r="O6" s="14" t="s">
        <v>235</v>
      </c>
      <c r="P6" s="14">
        <v>1.3630609780297067E-2</v>
      </c>
      <c r="Q6" s="14">
        <v>6.2029547151433238E-2</v>
      </c>
      <c r="R6" s="14" t="s">
        <v>235</v>
      </c>
      <c r="S6" s="14">
        <v>4.1427196594862728E-2</v>
      </c>
      <c r="T6" s="14">
        <v>3.956998894791508E-2</v>
      </c>
      <c r="U6" s="14">
        <v>3.9013729335948447E-2</v>
      </c>
      <c r="V6" s="14" t="s">
        <v>235</v>
      </c>
      <c r="W6" s="14">
        <v>4.8242356013453967E-3</v>
      </c>
      <c r="X6" s="14" t="s">
        <v>235</v>
      </c>
      <c r="Y6" s="14" t="s">
        <v>235</v>
      </c>
      <c r="AF6">
        <v>24</v>
      </c>
      <c r="AG6">
        <v>152</v>
      </c>
      <c r="AH6">
        <v>2007</v>
      </c>
      <c r="AI6" s="109">
        <v>5907990</v>
      </c>
    </row>
    <row r="7" spans="1:35" x14ac:dyDescent="0.3">
      <c r="A7" t="s">
        <v>238</v>
      </c>
      <c r="B7">
        <f t="shared" si="0"/>
        <v>1</v>
      </c>
      <c r="C7" s="65">
        <f t="shared" si="1"/>
        <v>3.8725102224215842E-3</v>
      </c>
      <c r="D7" s="65">
        <f>IFERROR(SUM(F54:Y54)/D54, "")</f>
        <v>3.8725102224215842E-3</v>
      </c>
      <c r="E7" s="65">
        <f t="shared" si="2"/>
        <v>0</v>
      </c>
      <c r="F7" s="14" t="s">
        <v>235</v>
      </c>
      <c r="G7" s="14" t="s">
        <v>235</v>
      </c>
      <c r="H7" s="14" t="s">
        <v>235</v>
      </c>
      <c r="I7" s="14" t="s">
        <v>235</v>
      </c>
      <c r="J7" s="14">
        <v>3.8725102224215842E-3</v>
      </c>
      <c r="K7" s="14" t="s">
        <v>235</v>
      </c>
      <c r="L7" s="14" t="s">
        <v>235</v>
      </c>
      <c r="M7" s="14" t="s">
        <v>235</v>
      </c>
      <c r="N7" s="14" t="s">
        <v>235</v>
      </c>
      <c r="O7" s="14" t="s">
        <v>235</v>
      </c>
      <c r="P7" s="14" t="s">
        <v>235</v>
      </c>
      <c r="Q7" s="14" t="s">
        <v>235</v>
      </c>
      <c r="R7" s="14" t="s">
        <v>235</v>
      </c>
      <c r="S7" s="14" t="s">
        <v>235</v>
      </c>
      <c r="T7" s="14" t="s">
        <v>235</v>
      </c>
      <c r="U7" s="14" t="s">
        <v>235</v>
      </c>
      <c r="V7" s="14" t="s">
        <v>235</v>
      </c>
      <c r="W7" s="14" t="s">
        <v>235</v>
      </c>
      <c r="X7" s="14" t="s">
        <v>235</v>
      </c>
      <c r="Y7" s="14" t="s">
        <v>235</v>
      </c>
      <c r="AF7">
        <v>25</v>
      </c>
      <c r="AG7">
        <v>151</v>
      </c>
      <c r="AH7">
        <v>2007</v>
      </c>
      <c r="AI7" s="109">
        <v>5313000</v>
      </c>
    </row>
    <row r="8" spans="1:35" x14ac:dyDescent="0.3">
      <c r="A8" t="s">
        <v>239</v>
      </c>
      <c r="B8">
        <f t="shared" si="0"/>
        <v>1</v>
      </c>
      <c r="C8" s="65">
        <f t="shared" si="1"/>
        <v>1.4360284306703962E-2</v>
      </c>
      <c r="D8" s="65">
        <f>IFERROR(SUM(F55:Y55)/D55, "")</f>
        <v>1.4360284306703962E-2</v>
      </c>
      <c r="E8" s="65">
        <f t="shared" si="2"/>
        <v>0</v>
      </c>
      <c r="F8" s="14">
        <v>1.4360284306703962E-2</v>
      </c>
      <c r="G8" s="14" t="s">
        <v>235</v>
      </c>
      <c r="H8" s="14" t="s">
        <v>235</v>
      </c>
      <c r="I8" s="14" t="s">
        <v>235</v>
      </c>
      <c r="J8" s="14" t="s">
        <v>235</v>
      </c>
      <c r="K8" s="14" t="s">
        <v>235</v>
      </c>
      <c r="L8" s="14" t="s">
        <v>235</v>
      </c>
      <c r="M8" s="14" t="s">
        <v>235</v>
      </c>
      <c r="N8" s="14" t="s">
        <v>235</v>
      </c>
      <c r="O8" s="14" t="s">
        <v>235</v>
      </c>
      <c r="P8" s="14" t="s">
        <v>235</v>
      </c>
      <c r="Q8" s="14" t="s">
        <v>235</v>
      </c>
      <c r="R8" s="14" t="s">
        <v>235</v>
      </c>
      <c r="S8" s="14" t="s">
        <v>235</v>
      </c>
      <c r="T8" s="14" t="s">
        <v>235</v>
      </c>
      <c r="U8" s="14" t="s">
        <v>235</v>
      </c>
      <c r="V8" s="14" t="s">
        <v>235</v>
      </c>
      <c r="W8" s="14" t="s">
        <v>235</v>
      </c>
      <c r="X8" s="14" t="s">
        <v>235</v>
      </c>
      <c r="Y8" s="14" t="s">
        <v>235</v>
      </c>
      <c r="AF8">
        <v>26</v>
      </c>
      <c r="AG8">
        <v>176</v>
      </c>
      <c r="AH8">
        <v>2009</v>
      </c>
      <c r="AI8" s="109">
        <v>5088600</v>
      </c>
    </row>
    <row r="9" spans="1:35" x14ac:dyDescent="0.3">
      <c r="A9" t="s">
        <v>240</v>
      </c>
      <c r="B9">
        <f t="shared" si="0"/>
        <v>0</v>
      </c>
      <c r="C9" s="65" t="str">
        <f t="shared" si="1"/>
        <v/>
      </c>
      <c r="D9" s="65">
        <f t="shared" ref="D9:D47" si="3">IFERROR(SUM(F56:Y56)/D56, 0)</f>
        <v>0</v>
      </c>
      <c r="E9" s="65">
        <f t="shared" si="2"/>
        <v>0</v>
      </c>
      <c r="F9" s="14" t="s">
        <v>235</v>
      </c>
      <c r="G9" s="14" t="s">
        <v>235</v>
      </c>
      <c r="H9" s="14" t="s">
        <v>235</v>
      </c>
      <c r="I9" s="14" t="s">
        <v>235</v>
      </c>
      <c r="J9" s="14" t="s">
        <v>235</v>
      </c>
      <c r="K9" s="14" t="s">
        <v>235</v>
      </c>
      <c r="L9" s="14" t="s">
        <v>235</v>
      </c>
      <c r="M9" s="14" t="s">
        <v>235</v>
      </c>
      <c r="N9" s="14" t="s">
        <v>235</v>
      </c>
      <c r="O9" s="14" t="s">
        <v>235</v>
      </c>
      <c r="P9" s="14" t="s">
        <v>235</v>
      </c>
      <c r="Q9" s="14" t="s">
        <v>235</v>
      </c>
      <c r="R9" s="14" t="s">
        <v>235</v>
      </c>
      <c r="S9" s="14" t="s">
        <v>235</v>
      </c>
      <c r="T9" s="14" t="s">
        <v>235</v>
      </c>
      <c r="U9" s="14" t="s">
        <v>235</v>
      </c>
      <c r="V9" s="14" t="s">
        <v>235</v>
      </c>
      <c r="W9" s="14" t="s">
        <v>235</v>
      </c>
      <c r="X9" s="14" t="s">
        <v>235</v>
      </c>
      <c r="Y9" s="14" t="s">
        <v>235</v>
      </c>
      <c r="AB9">
        <v>257</v>
      </c>
      <c r="AF9">
        <v>27</v>
      </c>
      <c r="AG9">
        <v>254</v>
      </c>
      <c r="AH9">
        <v>2014</v>
      </c>
      <c r="AI9" s="109">
        <v>4363841</v>
      </c>
    </row>
    <row r="10" spans="1:35" x14ac:dyDescent="0.3">
      <c r="A10" t="s">
        <v>241</v>
      </c>
      <c r="B10">
        <f t="shared" si="0"/>
        <v>19</v>
      </c>
      <c r="C10" s="65">
        <f t="shared" si="1"/>
        <v>1.4048889296497806E-2</v>
      </c>
      <c r="D10" s="65">
        <f t="shared" si="3"/>
        <v>1.2309535079488329E-2</v>
      </c>
      <c r="E10" s="65">
        <f t="shared" si="2"/>
        <v>-1.7393542170094766E-3</v>
      </c>
      <c r="F10" s="14">
        <v>1.1399997210547189E-2</v>
      </c>
      <c r="G10" s="14">
        <v>2.6395342653344769E-3</v>
      </c>
      <c r="H10" s="14">
        <v>3.3120906978381802E-3</v>
      </c>
      <c r="I10" s="14">
        <v>8.87574380075902E-3</v>
      </c>
      <c r="J10" s="14">
        <v>1.2074908099600365E-2</v>
      </c>
      <c r="K10" s="14">
        <v>7.2847841813359054E-3</v>
      </c>
      <c r="L10" s="14">
        <v>8.7390471469657308E-4</v>
      </c>
      <c r="M10" s="14">
        <v>1.4579935697311402E-2</v>
      </c>
      <c r="N10" s="14">
        <v>2.2648516543614983E-2</v>
      </c>
      <c r="O10" s="14">
        <v>4.6659586602946094E-3</v>
      </c>
      <c r="P10" s="14">
        <v>3.6453758264123224E-3</v>
      </c>
      <c r="Q10" s="14">
        <v>9.2461681301188411E-2</v>
      </c>
      <c r="R10" s="14">
        <v>3.7972960410109301E-2</v>
      </c>
      <c r="S10" s="14">
        <v>1.270658267200918E-2</v>
      </c>
      <c r="T10" s="14" t="s">
        <v>235</v>
      </c>
      <c r="U10" s="14">
        <v>5.7962828056411691E-3</v>
      </c>
      <c r="V10" s="14">
        <v>5.6886752524336415E-3</v>
      </c>
      <c r="W10" s="14">
        <v>8.4104844997900698E-3</v>
      </c>
      <c r="X10" s="14">
        <v>4.4634141488751854E-3</v>
      </c>
      <c r="Y10" s="14">
        <v>7.4280658456662828E-3</v>
      </c>
      <c r="AF10">
        <v>28</v>
      </c>
      <c r="AG10">
        <v>153</v>
      </c>
      <c r="AH10">
        <v>2007</v>
      </c>
      <c r="AI10" s="109">
        <v>4242750</v>
      </c>
    </row>
    <row r="11" spans="1:35" x14ac:dyDescent="0.3">
      <c r="A11" t="s">
        <v>242</v>
      </c>
      <c r="B11">
        <f t="shared" si="0"/>
        <v>0</v>
      </c>
      <c r="C11" s="65" t="str">
        <f t="shared" si="1"/>
        <v/>
      </c>
      <c r="D11" s="65">
        <f t="shared" si="3"/>
        <v>0</v>
      </c>
      <c r="E11" s="65">
        <f t="shared" si="2"/>
        <v>0</v>
      </c>
      <c r="F11" s="14" t="s">
        <v>235</v>
      </c>
      <c r="G11" s="14" t="s">
        <v>235</v>
      </c>
      <c r="H11" s="14" t="s">
        <v>235</v>
      </c>
      <c r="I11" s="14" t="s">
        <v>235</v>
      </c>
      <c r="J11" s="14" t="s">
        <v>235</v>
      </c>
      <c r="K11" s="14" t="s">
        <v>235</v>
      </c>
      <c r="L11" s="14" t="s">
        <v>235</v>
      </c>
      <c r="M11" s="14" t="s">
        <v>235</v>
      </c>
      <c r="N11" s="14" t="s">
        <v>235</v>
      </c>
      <c r="O11" s="14" t="s">
        <v>235</v>
      </c>
      <c r="P11" s="14" t="s">
        <v>235</v>
      </c>
      <c r="Q11" s="14" t="s">
        <v>235</v>
      </c>
      <c r="R11" s="14" t="s">
        <v>235</v>
      </c>
      <c r="S11" s="14" t="s">
        <v>235</v>
      </c>
      <c r="T11" s="14" t="s">
        <v>235</v>
      </c>
      <c r="U11" s="14" t="s">
        <v>235</v>
      </c>
      <c r="V11" s="14" t="s">
        <v>235</v>
      </c>
      <c r="W11" s="14" t="s">
        <v>235</v>
      </c>
      <c r="X11" s="14" t="s">
        <v>235</v>
      </c>
      <c r="Y11" s="14" t="s">
        <v>235</v>
      </c>
      <c r="AF11">
        <v>29</v>
      </c>
      <c r="AG11">
        <v>324</v>
      </c>
      <c r="AH11">
        <v>2017</v>
      </c>
      <c r="AI11" s="109">
        <v>3689275</v>
      </c>
    </row>
    <row r="12" spans="1:35" x14ac:dyDescent="0.3">
      <c r="A12" t="s">
        <v>243</v>
      </c>
      <c r="B12">
        <f t="shared" si="0"/>
        <v>0</v>
      </c>
      <c r="C12" s="65" t="str">
        <f t="shared" si="1"/>
        <v/>
      </c>
      <c r="D12" s="65">
        <f t="shared" si="3"/>
        <v>0</v>
      </c>
      <c r="E12" s="65">
        <f t="shared" si="2"/>
        <v>0</v>
      </c>
      <c r="F12" s="14" t="s">
        <v>235</v>
      </c>
      <c r="G12" s="14" t="s">
        <v>235</v>
      </c>
      <c r="H12" s="14" t="s">
        <v>235</v>
      </c>
      <c r="I12" s="14" t="s">
        <v>235</v>
      </c>
      <c r="J12" s="14" t="s">
        <v>235</v>
      </c>
      <c r="K12" s="14" t="s">
        <v>235</v>
      </c>
      <c r="L12" s="14" t="s">
        <v>235</v>
      </c>
      <c r="M12" s="14" t="s">
        <v>235</v>
      </c>
      <c r="N12" s="14" t="s">
        <v>235</v>
      </c>
      <c r="O12" s="14" t="s">
        <v>235</v>
      </c>
      <c r="P12" s="14" t="s">
        <v>235</v>
      </c>
      <c r="Q12" s="14" t="s">
        <v>235</v>
      </c>
      <c r="R12" s="14" t="s">
        <v>235</v>
      </c>
      <c r="S12" s="14" t="s">
        <v>235</v>
      </c>
      <c r="T12" s="14" t="s">
        <v>235</v>
      </c>
      <c r="U12" s="14" t="s">
        <v>235</v>
      </c>
      <c r="V12" s="14" t="s">
        <v>235</v>
      </c>
      <c r="W12" s="14" t="s">
        <v>235</v>
      </c>
      <c r="X12" s="14" t="s">
        <v>235</v>
      </c>
      <c r="Y12" s="14" t="s">
        <v>235</v>
      </c>
      <c r="AF12">
        <v>30</v>
      </c>
      <c r="AG12">
        <v>159</v>
      </c>
      <c r="AH12">
        <v>2008</v>
      </c>
      <c r="AI12" s="109">
        <v>3335267</v>
      </c>
    </row>
    <row r="13" spans="1:35" x14ac:dyDescent="0.3">
      <c r="A13" t="s">
        <v>244</v>
      </c>
      <c r="B13">
        <f t="shared" si="0"/>
        <v>1</v>
      </c>
      <c r="C13" s="65">
        <f t="shared" si="1"/>
        <v>9.2080257059426428E-3</v>
      </c>
      <c r="D13" s="65">
        <f t="shared" si="3"/>
        <v>9.2080257059426428E-3</v>
      </c>
      <c r="E13" s="65">
        <f t="shared" si="2"/>
        <v>0</v>
      </c>
      <c r="F13" s="14" t="s">
        <v>235</v>
      </c>
      <c r="G13" s="14" t="s">
        <v>235</v>
      </c>
      <c r="H13" s="14" t="s">
        <v>235</v>
      </c>
      <c r="I13" s="14" t="s">
        <v>235</v>
      </c>
      <c r="J13" s="14">
        <v>9.2080257059426428E-3</v>
      </c>
      <c r="K13" s="14" t="s">
        <v>235</v>
      </c>
      <c r="L13" s="14" t="s">
        <v>235</v>
      </c>
      <c r="M13" s="14" t="s">
        <v>235</v>
      </c>
      <c r="N13" s="14" t="s">
        <v>235</v>
      </c>
      <c r="O13" s="14" t="s">
        <v>235</v>
      </c>
      <c r="P13" s="14" t="s">
        <v>235</v>
      </c>
      <c r="Q13" s="14" t="s">
        <v>235</v>
      </c>
      <c r="R13" s="14" t="s">
        <v>235</v>
      </c>
      <c r="S13" s="14" t="s">
        <v>235</v>
      </c>
      <c r="T13" s="14" t="s">
        <v>235</v>
      </c>
      <c r="U13" s="14" t="s">
        <v>235</v>
      </c>
      <c r="V13" s="14" t="s">
        <v>235</v>
      </c>
      <c r="W13" s="14" t="s">
        <v>235</v>
      </c>
      <c r="X13" s="14" t="s">
        <v>235</v>
      </c>
      <c r="Y13" s="14" t="s">
        <v>235</v>
      </c>
      <c r="AF13">
        <v>31</v>
      </c>
      <c r="AG13">
        <v>160</v>
      </c>
      <c r="AH13">
        <v>2008</v>
      </c>
      <c r="AI13" s="109">
        <v>3302640</v>
      </c>
    </row>
    <row r="14" spans="1:35" x14ac:dyDescent="0.3">
      <c r="A14" t="s">
        <v>245</v>
      </c>
      <c r="B14">
        <f t="shared" si="0"/>
        <v>11</v>
      </c>
      <c r="C14" s="65">
        <f t="shared" si="1"/>
        <v>9.9373838092020831E-3</v>
      </c>
      <c r="D14" s="65">
        <f t="shared" si="3"/>
        <v>8.8350308382276633E-3</v>
      </c>
      <c r="E14" s="65">
        <f t="shared" si="2"/>
        <v>-1.1023529709744198E-3</v>
      </c>
      <c r="F14" s="14">
        <v>6.9451465136449548E-3</v>
      </c>
      <c r="G14" s="14" t="s">
        <v>235</v>
      </c>
      <c r="H14" s="14">
        <v>1.3690937257939582E-3</v>
      </c>
      <c r="I14" s="14" t="s">
        <v>235</v>
      </c>
      <c r="J14" s="14" t="s">
        <v>235</v>
      </c>
      <c r="K14" s="14">
        <v>1.365377917102055E-3</v>
      </c>
      <c r="L14" s="14">
        <v>1.3663635753416876E-4</v>
      </c>
      <c r="M14" s="14" t="s">
        <v>235</v>
      </c>
      <c r="N14" s="14">
        <v>3.7320207820617991E-2</v>
      </c>
      <c r="O14" s="14">
        <v>8.5853818138908709E-3</v>
      </c>
      <c r="P14" s="14" t="s">
        <v>235</v>
      </c>
      <c r="Q14" s="14" t="s">
        <v>235</v>
      </c>
      <c r="R14" s="14" t="s">
        <v>235</v>
      </c>
      <c r="S14" s="14">
        <v>1.6882640062177452E-2</v>
      </c>
      <c r="T14" s="14" t="s">
        <v>235</v>
      </c>
      <c r="U14" s="14" t="s">
        <v>235</v>
      </c>
      <c r="V14" s="14">
        <v>1.2943346030594353E-2</v>
      </c>
      <c r="W14" s="14">
        <v>1.9376300527362404E-3</v>
      </c>
      <c r="X14" s="14">
        <v>4.4055910576900363E-3</v>
      </c>
      <c r="Y14" s="14">
        <v>1.7420170549440842E-2</v>
      </c>
      <c r="AF14">
        <v>32</v>
      </c>
      <c r="AG14">
        <v>318</v>
      </c>
      <c r="AH14">
        <v>2017</v>
      </c>
      <c r="AI14" s="109">
        <v>3081434</v>
      </c>
    </row>
    <row r="15" spans="1:35" x14ac:dyDescent="0.3">
      <c r="A15" t="s">
        <v>246</v>
      </c>
      <c r="B15">
        <f t="shared" si="0"/>
        <v>5</v>
      </c>
      <c r="C15" s="65">
        <f t="shared" si="1"/>
        <v>8.5942241573503456E-3</v>
      </c>
      <c r="D15" s="65">
        <f t="shared" si="3"/>
        <v>7.2677767206604958E-3</v>
      </c>
      <c r="E15" s="65">
        <f t="shared" si="2"/>
        <v>-1.3264474366898498E-3</v>
      </c>
      <c r="F15" s="14">
        <v>5.5335967133626849E-3</v>
      </c>
      <c r="G15" s="14" t="s">
        <v>235</v>
      </c>
      <c r="H15" s="14" t="s">
        <v>235</v>
      </c>
      <c r="I15" s="14" t="s">
        <v>235</v>
      </c>
      <c r="J15" s="14" t="s">
        <v>235</v>
      </c>
      <c r="K15" s="14">
        <v>2.3030704927256653E-3</v>
      </c>
      <c r="L15" s="14" t="s">
        <v>235</v>
      </c>
      <c r="M15" s="14" t="s">
        <v>235</v>
      </c>
      <c r="N15" s="14" t="s">
        <v>235</v>
      </c>
      <c r="O15" s="14" t="s">
        <v>235</v>
      </c>
      <c r="P15" s="14">
        <v>5.6284246256651342E-3</v>
      </c>
      <c r="Q15" s="14">
        <v>2.5920518271641761E-2</v>
      </c>
      <c r="R15" s="14" t="s">
        <v>235</v>
      </c>
      <c r="S15" s="14" t="s">
        <v>235</v>
      </c>
      <c r="T15" s="14" t="s">
        <v>235</v>
      </c>
      <c r="U15" s="14" t="s">
        <v>235</v>
      </c>
      <c r="V15" s="14" t="s">
        <v>235</v>
      </c>
      <c r="W15" s="14">
        <v>3.5855106833564796E-3</v>
      </c>
      <c r="X15" s="14" t="s">
        <v>235</v>
      </c>
      <c r="Y15" s="14" t="s">
        <v>235</v>
      </c>
      <c r="AF15">
        <v>33</v>
      </c>
      <c r="AG15">
        <v>342</v>
      </c>
      <c r="AH15">
        <v>2018</v>
      </c>
      <c r="AI15" s="109">
        <v>2759680</v>
      </c>
    </row>
    <row r="16" spans="1:35" x14ac:dyDescent="0.3">
      <c r="A16" t="s">
        <v>247</v>
      </c>
      <c r="B16">
        <f t="shared" si="0"/>
        <v>12</v>
      </c>
      <c r="C16" s="65">
        <f t="shared" si="1"/>
        <v>2.7569246545282724E-2</v>
      </c>
      <c r="D16" s="65">
        <f t="shared" si="3"/>
        <v>2.2522249277018385E-2</v>
      </c>
      <c r="E16" s="65">
        <f t="shared" si="2"/>
        <v>-5.0469972682643388E-3</v>
      </c>
      <c r="F16" s="14">
        <v>4.9977302206717211E-3</v>
      </c>
      <c r="G16" s="14" t="s">
        <v>235</v>
      </c>
      <c r="H16" s="14" t="s">
        <v>235</v>
      </c>
      <c r="I16" s="14">
        <v>1.2673935108800482E-2</v>
      </c>
      <c r="J16" s="14">
        <v>9.9395508186705325E-3</v>
      </c>
      <c r="K16" s="14">
        <v>4.8008600594807493E-2</v>
      </c>
      <c r="L16" s="14">
        <v>6.7400385189315903E-2</v>
      </c>
      <c r="M16" s="14" t="s">
        <v>235</v>
      </c>
      <c r="N16" s="14" t="s">
        <v>235</v>
      </c>
      <c r="O16" s="14">
        <v>1.3409211591995237E-5</v>
      </c>
      <c r="P16" s="14" t="s">
        <v>235</v>
      </c>
      <c r="Q16" s="14" t="s">
        <v>235</v>
      </c>
      <c r="R16" s="14">
        <v>9.6785894524350248E-3</v>
      </c>
      <c r="S16" s="14">
        <v>3.7480112593317829E-3</v>
      </c>
      <c r="T16" s="14">
        <v>1.2375357528816867E-2</v>
      </c>
      <c r="U16" s="14">
        <v>6.7556551788549545E-3</v>
      </c>
      <c r="V16" s="14" t="s">
        <v>235</v>
      </c>
      <c r="W16" s="14">
        <v>0.10217616580310881</v>
      </c>
      <c r="X16" s="14" t="s">
        <v>235</v>
      </c>
      <c r="Y16" s="14">
        <v>5.3063568176987146E-2</v>
      </c>
      <c r="AF16">
        <v>34</v>
      </c>
      <c r="AG16">
        <v>320</v>
      </c>
      <c r="AH16">
        <v>2017</v>
      </c>
      <c r="AI16" s="109">
        <v>2743118</v>
      </c>
    </row>
    <row r="17" spans="1:35" x14ac:dyDescent="0.3">
      <c r="A17" t="s">
        <v>248</v>
      </c>
      <c r="B17">
        <f t="shared" si="0"/>
        <v>3</v>
      </c>
      <c r="C17" s="65">
        <f t="shared" si="1"/>
        <v>0.62634951687356333</v>
      </c>
      <c r="D17" s="65">
        <f t="shared" si="3"/>
        <v>0.49941983826296371</v>
      </c>
      <c r="E17" s="65">
        <f t="shared" si="2"/>
        <v>-0.12692967861059962</v>
      </c>
      <c r="F17" s="14" t="s">
        <v>235</v>
      </c>
      <c r="G17" s="14" t="s">
        <v>235</v>
      </c>
      <c r="H17" s="14" t="s">
        <v>235</v>
      </c>
      <c r="I17" s="14">
        <v>0.24258076798566727</v>
      </c>
      <c r="J17" s="14" t="s">
        <v>235</v>
      </c>
      <c r="K17" s="14" t="s">
        <v>235</v>
      </c>
      <c r="L17" s="14" t="s">
        <v>235</v>
      </c>
      <c r="M17" s="14" t="s">
        <v>235</v>
      </c>
      <c r="N17" s="14" t="s">
        <v>235</v>
      </c>
      <c r="O17" s="14" t="s">
        <v>235</v>
      </c>
      <c r="P17" s="14">
        <v>0.72478769057518377</v>
      </c>
      <c r="Q17" s="14" t="s">
        <v>235</v>
      </c>
      <c r="R17" s="14" t="s">
        <v>235</v>
      </c>
      <c r="S17" s="14" t="s">
        <v>235</v>
      </c>
      <c r="T17" s="14">
        <v>0.91168009205983891</v>
      </c>
      <c r="U17" s="14" t="s">
        <v>235</v>
      </c>
      <c r="V17" s="14" t="s">
        <v>235</v>
      </c>
      <c r="W17" s="14" t="s">
        <v>235</v>
      </c>
      <c r="X17" s="14" t="s">
        <v>235</v>
      </c>
      <c r="Y17" s="14" t="s">
        <v>235</v>
      </c>
      <c r="AF17">
        <v>35</v>
      </c>
      <c r="AG17">
        <v>170</v>
      </c>
      <c r="AH17">
        <v>2008</v>
      </c>
      <c r="AI17" s="109">
        <v>2675400</v>
      </c>
    </row>
    <row r="18" spans="1:35" x14ac:dyDescent="0.3">
      <c r="A18" t="s">
        <v>249</v>
      </c>
      <c r="B18">
        <f t="shared" si="0"/>
        <v>1</v>
      </c>
      <c r="C18" s="65">
        <f t="shared" si="1"/>
        <v>9.0006905956606115E-3</v>
      </c>
      <c r="D18" s="65">
        <f t="shared" si="3"/>
        <v>9.0006905956606115E-3</v>
      </c>
      <c r="E18" s="65">
        <f t="shared" si="2"/>
        <v>0</v>
      </c>
      <c r="F18" s="14" t="s">
        <v>235</v>
      </c>
      <c r="G18" s="14" t="s">
        <v>235</v>
      </c>
      <c r="H18" s="14" t="s">
        <v>235</v>
      </c>
      <c r="I18" s="14" t="s">
        <v>235</v>
      </c>
      <c r="J18" s="14" t="s">
        <v>235</v>
      </c>
      <c r="K18" s="14" t="s">
        <v>235</v>
      </c>
      <c r="L18" s="14" t="s">
        <v>235</v>
      </c>
      <c r="M18" s="14" t="s">
        <v>235</v>
      </c>
      <c r="N18" s="14" t="s">
        <v>235</v>
      </c>
      <c r="O18" s="14" t="s">
        <v>235</v>
      </c>
      <c r="P18" s="14" t="s">
        <v>235</v>
      </c>
      <c r="Q18" s="14" t="s">
        <v>235</v>
      </c>
      <c r="R18" s="14" t="s">
        <v>235</v>
      </c>
      <c r="S18" s="14">
        <v>9.0006905956606115E-3</v>
      </c>
      <c r="T18" s="14" t="s">
        <v>235</v>
      </c>
      <c r="U18" s="14" t="s">
        <v>235</v>
      </c>
      <c r="V18" s="14" t="s">
        <v>235</v>
      </c>
      <c r="W18" s="14" t="s">
        <v>235</v>
      </c>
      <c r="X18" s="14" t="s">
        <v>235</v>
      </c>
      <c r="Y18" s="14" t="s">
        <v>235</v>
      </c>
      <c r="AF18">
        <v>36</v>
      </c>
      <c r="AG18">
        <v>360</v>
      </c>
      <c r="AH18">
        <v>2019</v>
      </c>
      <c r="AI18" s="109">
        <v>2462518</v>
      </c>
    </row>
    <row r="19" spans="1:35" x14ac:dyDescent="0.3">
      <c r="A19" t="s">
        <v>250</v>
      </c>
      <c r="B19">
        <f t="shared" si="0"/>
        <v>0</v>
      </c>
      <c r="C19" s="65" t="str">
        <f t="shared" si="1"/>
        <v/>
      </c>
      <c r="D19" s="65">
        <f t="shared" si="3"/>
        <v>0</v>
      </c>
      <c r="E19" s="65">
        <f t="shared" si="2"/>
        <v>0</v>
      </c>
      <c r="F19" s="14" t="s">
        <v>235</v>
      </c>
      <c r="G19" s="14" t="s">
        <v>235</v>
      </c>
      <c r="H19" s="14" t="s">
        <v>235</v>
      </c>
      <c r="I19" s="14" t="s">
        <v>235</v>
      </c>
      <c r="J19" s="14" t="s">
        <v>235</v>
      </c>
      <c r="K19" s="14" t="s">
        <v>235</v>
      </c>
      <c r="L19" s="14" t="s">
        <v>235</v>
      </c>
      <c r="M19" s="14" t="s">
        <v>235</v>
      </c>
      <c r="N19" s="14" t="s">
        <v>235</v>
      </c>
      <c r="O19" s="14" t="s">
        <v>235</v>
      </c>
      <c r="P19" s="14" t="s">
        <v>235</v>
      </c>
      <c r="Q19" s="14" t="s">
        <v>235</v>
      </c>
      <c r="R19" s="14" t="s">
        <v>235</v>
      </c>
      <c r="S19" s="14" t="s">
        <v>235</v>
      </c>
      <c r="T19" s="14" t="s">
        <v>235</v>
      </c>
      <c r="U19" s="14" t="s">
        <v>235</v>
      </c>
      <c r="V19" s="14" t="s">
        <v>235</v>
      </c>
      <c r="W19" s="14" t="s">
        <v>235</v>
      </c>
      <c r="X19" s="14" t="s">
        <v>235</v>
      </c>
      <c r="Y19" s="14" t="s">
        <v>235</v>
      </c>
      <c r="AF19">
        <v>37</v>
      </c>
      <c r="AG19">
        <v>329</v>
      </c>
      <c r="AH19">
        <v>2018</v>
      </c>
      <c r="AI19" s="109">
        <v>2459160</v>
      </c>
    </row>
    <row r="20" spans="1:35" x14ac:dyDescent="0.3">
      <c r="A20" t="s">
        <v>251</v>
      </c>
      <c r="B20">
        <f t="shared" si="0"/>
        <v>1</v>
      </c>
      <c r="C20" s="65">
        <f t="shared" si="1"/>
        <v>1.4503837662846285E-2</v>
      </c>
      <c r="D20" s="65">
        <f t="shared" si="3"/>
        <v>1.4503837662846285E-2</v>
      </c>
      <c r="E20" s="65">
        <f t="shared" si="2"/>
        <v>0</v>
      </c>
      <c r="F20" s="14" t="s">
        <v>235</v>
      </c>
      <c r="G20" s="14" t="s">
        <v>235</v>
      </c>
      <c r="H20" s="14" t="s">
        <v>235</v>
      </c>
      <c r="I20" s="14" t="s">
        <v>235</v>
      </c>
      <c r="J20" s="14">
        <v>1.4503837662846285E-2</v>
      </c>
      <c r="K20" s="14" t="s">
        <v>235</v>
      </c>
      <c r="L20" s="14" t="s">
        <v>235</v>
      </c>
      <c r="M20" s="14" t="s">
        <v>235</v>
      </c>
      <c r="N20" s="14" t="s">
        <v>235</v>
      </c>
      <c r="O20" s="14" t="s">
        <v>235</v>
      </c>
      <c r="P20" s="14" t="s">
        <v>235</v>
      </c>
      <c r="Q20" s="14" t="s">
        <v>235</v>
      </c>
      <c r="R20" s="14" t="s">
        <v>235</v>
      </c>
      <c r="S20" s="14" t="s">
        <v>235</v>
      </c>
      <c r="T20" s="14" t="s">
        <v>235</v>
      </c>
      <c r="U20" s="14" t="s">
        <v>235</v>
      </c>
      <c r="V20" s="14" t="s">
        <v>235</v>
      </c>
      <c r="W20" s="14" t="s">
        <v>235</v>
      </c>
      <c r="X20" s="14" t="s">
        <v>235</v>
      </c>
      <c r="Y20" s="14" t="s">
        <v>235</v>
      </c>
      <c r="AF20">
        <v>38</v>
      </c>
      <c r="AG20">
        <v>169</v>
      </c>
      <c r="AH20">
        <v>2008</v>
      </c>
      <c r="AI20" s="109">
        <v>2274800</v>
      </c>
    </row>
    <row r="21" spans="1:35" x14ac:dyDescent="0.3">
      <c r="A21" t="s">
        <v>252</v>
      </c>
      <c r="B21">
        <f t="shared" si="0"/>
        <v>1</v>
      </c>
      <c r="C21" s="65">
        <f t="shared" si="1"/>
        <v>0.19595762035537403</v>
      </c>
      <c r="D21" s="65">
        <f t="shared" si="3"/>
        <v>0.19595762035537403</v>
      </c>
      <c r="E21" s="65">
        <f t="shared" si="2"/>
        <v>0</v>
      </c>
      <c r="F21" s="14" t="s">
        <v>235</v>
      </c>
      <c r="G21" s="14" t="s">
        <v>235</v>
      </c>
      <c r="H21" s="14">
        <v>0.19595762035537403</v>
      </c>
      <c r="I21" s="14" t="s">
        <v>235</v>
      </c>
      <c r="J21" s="14" t="s">
        <v>235</v>
      </c>
      <c r="K21" s="14" t="s">
        <v>235</v>
      </c>
      <c r="L21" s="14" t="s">
        <v>235</v>
      </c>
      <c r="M21" s="14" t="s">
        <v>235</v>
      </c>
      <c r="N21" s="14" t="s">
        <v>235</v>
      </c>
      <c r="O21" s="14" t="s">
        <v>235</v>
      </c>
      <c r="P21" s="14" t="s">
        <v>235</v>
      </c>
      <c r="Q21" s="14" t="s">
        <v>235</v>
      </c>
      <c r="R21" s="14" t="s">
        <v>235</v>
      </c>
      <c r="S21" s="14" t="s">
        <v>235</v>
      </c>
      <c r="T21" s="14" t="s">
        <v>235</v>
      </c>
      <c r="U21" s="14" t="s">
        <v>235</v>
      </c>
      <c r="V21" s="14" t="s">
        <v>235</v>
      </c>
      <c r="W21" s="14" t="s">
        <v>235</v>
      </c>
      <c r="X21" s="14" t="s">
        <v>235</v>
      </c>
      <c r="Y21" s="14" t="s">
        <v>235</v>
      </c>
      <c r="AF21">
        <v>39</v>
      </c>
      <c r="AG21">
        <v>179</v>
      </c>
      <c r="AH21">
        <v>2009</v>
      </c>
      <c r="AI21" s="109">
        <v>2267100</v>
      </c>
    </row>
    <row r="22" spans="1:35" x14ac:dyDescent="0.3">
      <c r="A22" t="s">
        <v>253</v>
      </c>
      <c r="B22">
        <f t="shared" si="0"/>
        <v>0</v>
      </c>
      <c r="C22" s="65" t="str">
        <f t="shared" si="1"/>
        <v/>
      </c>
      <c r="D22" s="65">
        <f t="shared" si="3"/>
        <v>0</v>
      </c>
      <c r="E22" s="65">
        <f t="shared" si="2"/>
        <v>0</v>
      </c>
      <c r="F22" s="14" t="s">
        <v>235</v>
      </c>
      <c r="G22" s="14" t="s">
        <v>235</v>
      </c>
      <c r="H22" s="14" t="s">
        <v>235</v>
      </c>
      <c r="I22" s="14" t="s">
        <v>235</v>
      </c>
      <c r="J22" s="14" t="s">
        <v>235</v>
      </c>
      <c r="K22" s="14" t="s">
        <v>235</v>
      </c>
      <c r="L22" s="14" t="s">
        <v>235</v>
      </c>
      <c r="M22" s="14" t="s">
        <v>235</v>
      </c>
      <c r="N22" s="14" t="s">
        <v>235</v>
      </c>
      <c r="O22" s="14" t="s">
        <v>235</v>
      </c>
      <c r="P22" s="14" t="s">
        <v>235</v>
      </c>
      <c r="Q22" s="14" t="s">
        <v>235</v>
      </c>
      <c r="R22" s="14" t="s">
        <v>235</v>
      </c>
      <c r="S22" s="14" t="s">
        <v>235</v>
      </c>
      <c r="T22" s="14" t="s">
        <v>235</v>
      </c>
      <c r="U22" s="14" t="s">
        <v>235</v>
      </c>
      <c r="V22" s="14" t="s">
        <v>235</v>
      </c>
      <c r="W22" s="14" t="s">
        <v>235</v>
      </c>
      <c r="X22" s="14" t="s">
        <v>235</v>
      </c>
      <c r="Y22" s="14" t="s">
        <v>235</v>
      </c>
      <c r="AF22">
        <v>40</v>
      </c>
      <c r="AG22">
        <v>232</v>
      </c>
      <c r="AH22">
        <v>2012</v>
      </c>
      <c r="AI22" s="109">
        <v>1964160</v>
      </c>
    </row>
    <row r="23" spans="1:35" x14ac:dyDescent="0.3">
      <c r="A23" t="s">
        <v>254</v>
      </c>
      <c r="B23">
        <f t="shared" si="0"/>
        <v>10</v>
      </c>
      <c r="C23" s="65">
        <f t="shared" si="1"/>
        <v>2.2719124873335834E-2</v>
      </c>
      <c r="D23" s="65">
        <f t="shared" si="3"/>
        <v>2.2055585398394157E-2</v>
      </c>
      <c r="E23" s="65">
        <f t="shared" si="2"/>
        <v>-6.6353947494167745E-4</v>
      </c>
      <c r="F23" s="14" t="s">
        <v>235</v>
      </c>
      <c r="G23" s="14" t="s">
        <v>235</v>
      </c>
      <c r="H23" s="14">
        <v>3.2630565922587611E-2</v>
      </c>
      <c r="I23" s="14">
        <v>2.4489250491184986E-2</v>
      </c>
      <c r="J23" s="14">
        <v>4.6454025429501777E-3</v>
      </c>
      <c r="K23" s="14" t="s">
        <v>235</v>
      </c>
      <c r="L23" s="14" t="s">
        <v>235</v>
      </c>
      <c r="M23" s="14">
        <v>5.0643104546231145E-2</v>
      </c>
      <c r="N23" s="14" t="s">
        <v>235</v>
      </c>
      <c r="O23" s="14">
        <v>1.3856185311728411E-5</v>
      </c>
      <c r="P23" s="14">
        <v>6.9510251169579377E-3</v>
      </c>
      <c r="Q23" s="14">
        <v>3.2180795590172617E-2</v>
      </c>
      <c r="R23" s="14">
        <v>1.2995786684728476E-2</v>
      </c>
      <c r="S23" s="14" t="s">
        <v>235</v>
      </c>
      <c r="T23" s="14">
        <v>4.1759606643861892E-2</v>
      </c>
      <c r="U23" s="14" t="s">
        <v>235</v>
      </c>
      <c r="V23" s="14">
        <v>2.0881855009371789E-2</v>
      </c>
      <c r="W23" s="14" t="s">
        <v>235</v>
      </c>
      <c r="X23" s="14" t="s">
        <v>235</v>
      </c>
      <c r="Y23" s="14" t="s">
        <v>235</v>
      </c>
      <c r="AF23">
        <v>41</v>
      </c>
      <c r="AG23">
        <v>180</v>
      </c>
      <c r="AH23">
        <v>2009</v>
      </c>
      <c r="AI23" s="109">
        <v>1809060</v>
      </c>
    </row>
    <row r="24" spans="1:35" x14ac:dyDescent="0.3">
      <c r="A24" t="s">
        <v>255</v>
      </c>
      <c r="B24">
        <f t="shared" si="0"/>
        <v>0</v>
      </c>
      <c r="C24" s="65" t="str">
        <f t="shared" si="1"/>
        <v/>
      </c>
      <c r="D24" s="65">
        <f t="shared" si="3"/>
        <v>0</v>
      </c>
      <c r="E24" s="65">
        <f t="shared" si="2"/>
        <v>0</v>
      </c>
      <c r="F24" s="14" t="s">
        <v>235</v>
      </c>
      <c r="G24" s="14" t="s">
        <v>235</v>
      </c>
      <c r="H24" s="14" t="s">
        <v>235</v>
      </c>
      <c r="I24" s="14" t="s">
        <v>235</v>
      </c>
      <c r="J24" s="14" t="s">
        <v>235</v>
      </c>
      <c r="K24" s="14" t="s">
        <v>235</v>
      </c>
      <c r="L24" s="14" t="s">
        <v>235</v>
      </c>
      <c r="M24" s="14" t="s">
        <v>235</v>
      </c>
      <c r="N24" s="14" t="s">
        <v>235</v>
      </c>
      <c r="O24" s="14" t="s">
        <v>235</v>
      </c>
      <c r="P24" s="14" t="s">
        <v>235</v>
      </c>
      <c r="Q24" s="14" t="s">
        <v>235</v>
      </c>
      <c r="R24" s="14" t="s">
        <v>235</v>
      </c>
      <c r="S24" s="14" t="s">
        <v>235</v>
      </c>
      <c r="T24" s="14" t="s">
        <v>235</v>
      </c>
      <c r="U24" s="14" t="s">
        <v>235</v>
      </c>
      <c r="V24" s="14" t="s">
        <v>235</v>
      </c>
      <c r="W24" s="14" t="s">
        <v>235</v>
      </c>
      <c r="X24" s="14" t="s">
        <v>235</v>
      </c>
      <c r="Y24" s="14" t="s">
        <v>235</v>
      </c>
      <c r="AF24">
        <v>42</v>
      </c>
      <c r="AG24">
        <v>325</v>
      </c>
      <c r="AH24">
        <v>2017</v>
      </c>
      <c r="AI24" s="109">
        <v>1201360</v>
      </c>
    </row>
    <row r="25" spans="1:35" x14ac:dyDescent="0.3">
      <c r="A25" t="s">
        <v>256</v>
      </c>
      <c r="B25">
        <f t="shared" si="0"/>
        <v>7</v>
      </c>
      <c r="C25" s="65">
        <f t="shared" si="1"/>
        <v>5.2113275745489232E-3</v>
      </c>
      <c r="D25" s="65">
        <f t="shared" si="3"/>
        <v>4.1782263263355534E-3</v>
      </c>
      <c r="E25" s="65">
        <f t="shared" si="2"/>
        <v>-1.0331012482133698E-3</v>
      </c>
      <c r="F25" s="14" t="s">
        <v>235</v>
      </c>
      <c r="G25" s="14" t="s">
        <v>235</v>
      </c>
      <c r="H25" s="14">
        <v>2.0437527873623921E-3</v>
      </c>
      <c r="I25" s="14" t="s">
        <v>235</v>
      </c>
      <c r="J25" s="14" t="s">
        <v>235</v>
      </c>
      <c r="K25" s="14" t="s">
        <v>235</v>
      </c>
      <c r="L25" s="14">
        <v>4.5902587377562982E-4</v>
      </c>
      <c r="M25" s="14" t="s">
        <v>235</v>
      </c>
      <c r="N25" s="14" t="s">
        <v>235</v>
      </c>
      <c r="O25" s="14">
        <v>5.6318688686379992E-6</v>
      </c>
      <c r="P25" s="14" t="s">
        <v>235</v>
      </c>
      <c r="Q25" s="14">
        <v>1.6226458468857279E-2</v>
      </c>
      <c r="R25" s="14" t="s">
        <v>235</v>
      </c>
      <c r="S25" s="14" t="s">
        <v>235</v>
      </c>
      <c r="T25" s="14" t="s">
        <v>235</v>
      </c>
      <c r="U25" s="14" t="s">
        <v>235</v>
      </c>
      <c r="V25" s="14">
        <v>2.0351895519680756E-3</v>
      </c>
      <c r="W25" s="14" t="s">
        <v>235</v>
      </c>
      <c r="X25" s="14">
        <v>7.6035810524299995E-3</v>
      </c>
      <c r="Y25" s="14">
        <v>8.1056534185804472E-3</v>
      </c>
      <c r="AF25">
        <v>43</v>
      </c>
      <c r="AG25">
        <v>257</v>
      </c>
      <c r="AH25">
        <v>2014</v>
      </c>
      <c r="AI25" s="109">
        <v>1061060</v>
      </c>
    </row>
    <row r="26" spans="1:35" x14ac:dyDescent="0.3">
      <c r="A26" t="s">
        <v>257</v>
      </c>
      <c r="B26">
        <f t="shared" si="0"/>
        <v>2</v>
      </c>
      <c r="C26" s="65">
        <f t="shared" si="1"/>
        <v>9.0358794583516672E-2</v>
      </c>
      <c r="D26" s="65">
        <f t="shared" si="3"/>
        <v>8.3970490805235734E-2</v>
      </c>
      <c r="E26" s="65">
        <f t="shared" si="2"/>
        <v>-6.3883037782809377E-3</v>
      </c>
      <c r="F26" s="14" t="s">
        <v>235</v>
      </c>
      <c r="G26" s="14" t="s">
        <v>235</v>
      </c>
      <c r="H26" s="14" t="s">
        <v>235</v>
      </c>
      <c r="I26" s="14">
        <v>7.442151327021182E-2</v>
      </c>
      <c r="J26" s="14" t="s">
        <v>235</v>
      </c>
      <c r="K26" s="14" t="s">
        <v>235</v>
      </c>
      <c r="L26" s="14" t="s">
        <v>235</v>
      </c>
      <c r="M26" s="14" t="s">
        <v>235</v>
      </c>
      <c r="N26" s="14" t="s">
        <v>235</v>
      </c>
      <c r="O26" s="14" t="s">
        <v>235</v>
      </c>
      <c r="P26" s="14" t="s">
        <v>235</v>
      </c>
      <c r="Q26" s="14" t="s">
        <v>235</v>
      </c>
      <c r="R26" s="14" t="s">
        <v>235</v>
      </c>
      <c r="S26" s="14" t="s">
        <v>235</v>
      </c>
      <c r="T26" s="14">
        <v>0.10629607589682152</v>
      </c>
      <c r="U26" s="14" t="s">
        <v>235</v>
      </c>
      <c r="V26" s="14" t="s">
        <v>235</v>
      </c>
      <c r="W26" s="14" t="s">
        <v>235</v>
      </c>
      <c r="X26" s="14" t="s">
        <v>235</v>
      </c>
      <c r="Y26" s="14" t="s">
        <v>235</v>
      </c>
      <c r="AF26">
        <v>44</v>
      </c>
      <c r="AG26">
        <v>368</v>
      </c>
      <c r="AH26">
        <v>2020</v>
      </c>
      <c r="AI26" s="109">
        <v>1023660</v>
      </c>
    </row>
    <row r="27" spans="1:35" x14ac:dyDescent="0.3">
      <c r="A27" t="s">
        <v>258</v>
      </c>
      <c r="B27">
        <f t="shared" si="0"/>
        <v>7</v>
      </c>
      <c r="C27" s="65">
        <f t="shared" si="1"/>
        <v>5.8522064704714737E-2</v>
      </c>
      <c r="D27" s="65">
        <f t="shared" si="3"/>
        <v>5.6915265609722918E-2</v>
      </c>
      <c r="E27" s="65">
        <f t="shared" si="2"/>
        <v>-1.606799094991819E-3</v>
      </c>
      <c r="F27" s="14" t="s">
        <v>235</v>
      </c>
      <c r="G27" s="14" t="s">
        <v>235</v>
      </c>
      <c r="H27" s="14" t="s">
        <v>235</v>
      </c>
      <c r="I27" s="14">
        <v>7.2088893783336591E-2</v>
      </c>
      <c r="J27" s="14" t="s">
        <v>235</v>
      </c>
      <c r="K27" s="14" t="s">
        <v>235</v>
      </c>
      <c r="L27" s="14">
        <v>7.1332891863004788E-2</v>
      </c>
      <c r="M27" s="14">
        <v>2.1046627215258688E-2</v>
      </c>
      <c r="N27" s="14" t="s">
        <v>235</v>
      </c>
      <c r="O27" s="14">
        <v>3.4863950139187616E-6</v>
      </c>
      <c r="P27" s="14" t="s">
        <v>235</v>
      </c>
      <c r="Q27" s="14" t="s">
        <v>235</v>
      </c>
      <c r="R27" s="14" t="s">
        <v>235</v>
      </c>
      <c r="S27" s="14">
        <v>6.8325460489822257E-2</v>
      </c>
      <c r="T27" s="14" t="s">
        <v>235</v>
      </c>
      <c r="U27" s="14" t="s">
        <v>235</v>
      </c>
      <c r="V27" s="14" t="s">
        <v>235</v>
      </c>
      <c r="W27" s="14" t="s">
        <v>235</v>
      </c>
      <c r="X27" s="14">
        <v>8.2095732655870529E-2</v>
      </c>
      <c r="Y27" s="14">
        <v>9.476136053069642E-2</v>
      </c>
      <c r="AF27">
        <v>45</v>
      </c>
      <c r="AG27">
        <v>312</v>
      </c>
      <c r="AH27">
        <v>2017</v>
      </c>
      <c r="AI27" s="109">
        <v>886076</v>
      </c>
    </row>
    <row r="28" spans="1:35" x14ac:dyDescent="0.3">
      <c r="A28" t="s">
        <v>259</v>
      </c>
      <c r="B28">
        <f t="shared" si="0"/>
        <v>0</v>
      </c>
      <c r="C28" s="65" t="str">
        <f t="shared" si="1"/>
        <v/>
      </c>
      <c r="D28" s="65">
        <f t="shared" si="3"/>
        <v>0</v>
      </c>
      <c r="E28" s="65">
        <f t="shared" si="2"/>
        <v>0</v>
      </c>
      <c r="F28" s="14" t="s">
        <v>235</v>
      </c>
      <c r="G28" s="14" t="s">
        <v>235</v>
      </c>
      <c r="H28" s="14" t="s">
        <v>235</v>
      </c>
      <c r="I28" s="14" t="s">
        <v>235</v>
      </c>
      <c r="J28" s="14" t="s">
        <v>235</v>
      </c>
      <c r="K28" s="14" t="s">
        <v>235</v>
      </c>
      <c r="L28" s="14" t="s">
        <v>235</v>
      </c>
      <c r="M28" s="14" t="s">
        <v>235</v>
      </c>
      <c r="N28" s="14" t="s">
        <v>235</v>
      </c>
      <c r="O28" s="14" t="s">
        <v>235</v>
      </c>
      <c r="P28" s="14" t="s">
        <v>235</v>
      </c>
      <c r="Q28" s="14" t="s">
        <v>235</v>
      </c>
      <c r="R28" s="14" t="s">
        <v>235</v>
      </c>
      <c r="S28" s="14" t="s">
        <v>235</v>
      </c>
      <c r="T28" s="14" t="s">
        <v>235</v>
      </c>
      <c r="U28" s="14" t="s">
        <v>235</v>
      </c>
      <c r="V28" s="14" t="s">
        <v>235</v>
      </c>
      <c r="W28" s="14" t="s">
        <v>235</v>
      </c>
      <c r="X28" s="14" t="s">
        <v>235</v>
      </c>
      <c r="Y28" s="14" t="s">
        <v>235</v>
      </c>
      <c r="AF28">
        <v>46</v>
      </c>
      <c r="AG28">
        <v>371</v>
      </c>
      <c r="AH28">
        <v>2020</v>
      </c>
      <c r="AI28" s="109">
        <v>832920</v>
      </c>
    </row>
    <row r="29" spans="1:35" x14ac:dyDescent="0.3">
      <c r="A29" t="s">
        <v>260</v>
      </c>
      <c r="B29">
        <f t="shared" si="0"/>
        <v>8</v>
      </c>
      <c r="C29" s="65">
        <f t="shared" si="1"/>
        <v>2.2060047722738379E-3</v>
      </c>
      <c r="D29" s="65">
        <f t="shared" si="3"/>
        <v>2.0952401771160917E-3</v>
      </c>
      <c r="E29" s="65">
        <f t="shared" si="2"/>
        <v>-1.1076459515774618E-4</v>
      </c>
      <c r="F29" s="14" t="s">
        <v>235</v>
      </c>
      <c r="G29" s="14" t="s">
        <v>235</v>
      </c>
      <c r="H29" s="14" t="s">
        <v>235</v>
      </c>
      <c r="I29" s="14">
        <v>3.0105067373414926E-3</v>
      </c>
      <c r="J29" s="14">
        <v>1.6215046170749985E-3</v>
      </c>
      <c r="K29" s="14">
        <v>7.2227580848270502E-4</v>
      </c>
      <c r="L29" s="14" t="s">
        <v>235</v>
      </c>
      <c r="M29" s="14" t="s">
        <v>235</v>
      </c>
      <c r="N29" s="14" t="s">
        <v>235</v>
      </c>
      <c r="O29" s="14" t="s">
        <v>235</v>
      </c>
      <c r="P29" s="14" t="s">
        <v>235</v>
      </c>
      <c r="Q29" s="14">
        <v>1.7669927829009201E-3</v>
      </c>
      <c r="R29" s="14">
        <v>5.2342722817642136E-4</v>
      </c>
      <c r="S29" s="14">
        <v>5.0091033064353346E-3</v>
      </c>
      <c r="T29" s="14" t="s">
        <v>235</v>
      </c>
      <c r="U29" s="14">
        <v>1.6113570561315028E-3</v>
      </c>
      <c r="V29" s="14" t="s">
        <v>235</v>
      </c>
      <c r="W29" s="14">
        <v>3.3828706416473269E-3</v>
      </c>
      <c r="X29" s="14" t="s">
        <v>235</v>
      </c>
      <c r="Y29" s="14" t="s">
        <v>235</v>
      </c>
      <c r="AF29">
        <v>47</v>
      </c>
      <c r="AG29">
        <v>338</v>
      </c>
      <c r="AH29">
        <v>2018</v>
      </c>
      <c r="AI29" s="109">
        <v>764666</v>
      </c>
    </row>
    <row r="30" spans="1:35" x14ac:dyDescent="0.3">
      <c r="A30" t="s">
        <v>261</v>
      </c>
      <c r="B30">
        <f t="shared" si="0"/>
        <v>3</v>
      </c>
      <c r="C30" s="65">
        <f t="shared" si="1"/>
        <v>2.7491365470238989E-3</v>
      </c>
      <c r="D30" s="65">
        <f t="shared" si="3"/>
        <v>3.1195609133637266E-3</v>
      </c>
      <c r="E30" s="65">
        <f t="shared" si="2"/>
        <v>3.7042436633982767E-4</v>
      </c>
      <c r="F30" s="14" t="s">
        <v>235</v>
      </c>
      <c r="G30" s="14" t="s">
        <v>235</v>
      </c>
      <c r="H30" s="14" t="s">
        <v>235</v>
      </c>
      <c r="I30" s="14" t="s">
        <v>235</v>
      </c>
      <c r="J30" s="14">
        <v>3.5289375758942127E-3</v>
      </c>
      <c r="K30" s="14" t="s">
        <v>235</v>
      </c>
      <c r="L30" s="14" t="s">
        <v>235</v>
      </c>
      <c r="M30" s="14" t="s">
        <v>235</v>
      </c>
      <c r="N30" s="14" t="s">
        <v>235</v>
      </c>
      <c r="O30" s="14" t="s">
        <v>235</v>
      </c>
      <c r="P30" s="14">
        <v>2.728428741179496E-3</v>
      </c>
      <c r="Q30" s="14" t="s">
        <v>235</v>
      </c>
      <c r="R30" s="14" t="s">
        <v>235</v>
      </c>
      <c r="S30" s="14" t="s">
        <v>235</v>
      </c>
      <c r="T30" s="14" t="s">
        <v>235</v>
      </c>
      <c r="U30" s="14" t="s">
        <v>235</v>
      </c>
      <c r="V30" s="14" t="s">
        <v>235</v>
      </c>
      <c r="W30" s="14">
        <v>1.9900433239979885E-3</v>
      </c>
      <c r="X30" s="14" t="s">
        <v>235</v>
      </c>
      <c r="Y30" s="14" t="s">
        <v>235</v>
      </c>
      <c r="AF30">
        <v>48</v>
      </c>
      <c r="AG30">
        <v>352</v>
      </c>
      <c r="AH30">
        <v>2019</v>
      </c>
      <c r="AI30" s="109">
        <v>691020</v>
      </c>
    </row>
    <row r="31" spans="1:35" x14ac:dyDescent="0.3">
      <c r="A31" t="s">
        <v>262</v>
      </c>
      <c r="B31">
        <f t="shared" si="0"/>
        <v>0</v>
      </c>
      <c r="C31" s="65" t="str">
        <f t="shared" si="1"/>
        <v/>
      </c>
      <c r="D31" s="65">
        <f t="shared" si="3"/>
        <v>0</v>
      </c>
      <c r="E31" s="65">
        <f t="shared" si="2"/>
        <v>0</v>
      </c>
      <c r="F31" s="14" t="s">
        <v>235</v>
      </c>
      <c r="G31" s="14" t="s">
        <v>235</v>
      </c>
      <c r="H31" s="14" t="s">
        <v>235</v>
      </c>
      <c r="I31" s="14" t="s">
        <v>235</v>
      </c>
      <c r="J31" s="14" t="s">
        <v>235</v>
      </c>
      <c r="K31" s="14" t="s">
        <v>235</v>
      </c>
      <c r="L31" s="14" t="s">
        <v>235</v>
      </c>
      <c r="M31" s="14" t="s">
        <v>235</v>
      </c>
      <c r="N31" s="14" t="s">
        <v>235</v>
      </c>
      <c r="O31" s="14" t="s">
        <v>235</v>
      </c>
      <c r="P31" s="14" t="s">
        <v>235</v>
      </c>
      <c r="Q31" s="14" t="s">
        <v>235</v>
      </c>
      <c r="R31" s="14" t="s">
        <v>235</v>
      </c>
      <c r="S31" s="14" t="s">
        <v>235</v>
      </c>
      <c r="T31" s="14" t="s">
        <v>235</v>
      </c>
      <c r="U31" s="14" t="s">
        <v>235</v>
      </c>
      <c r="V31" s="14" t="s">
        <v>235</v>
      </c>
      <c r="W31" s="14" t="s">
        <v>235</v>
      </c>
      <c r="X31" s="14" t="s">
        <v>235</v>
      </c>
      <c r="Y31" s="14" t="s">
        <v>235</v>
      </c>
      <c r="AF31">
        <v>49</v>
      </c>
      <c r="AG31">
        <v>344</v>
      </c>
      <c r="AH31">
        <v>2018</v>
      </c>
      <c r="AI31" s="109">
        <v>686187</v>
      </c>
    </row>
    <row r="32" spans="1:35" x14ac:dyDescent="0.3">
      <c r="A32" t="s">
        <v>263</v>
      </c>
      <c r="B32">
        <f t="shared" si="0"/>
        <v>1</v>
      </c>
      <c r="C32" s="65">
        <f t="shared" si="1"/>
        <v>2.2962985290571499E-2</v>
      </c>
      <c r="D32" s="65">
        <f t="shared" si="3"/>
        <v>2.2962985290571499E-2</v>
      </c>
      <c r="E32" s="65">
        <f t="shared" si="2"/>
        <v>0</v>
      </c>
      <c r="F32" s="14" t="s">
        <v>235</v>
      </c>
      <c r="G32" s="14" t="s">
        <v>235</v>
      </c>
      <c r="H32" s="14" t="s">
        <v>235</v>
      </c>
      <c r="I32" s="14" t="s">
        <v>235</v>
      </c>
      <c r="J32" s="14" t="s">
        <v>235</v>
      </c>
      <c r="K32" s="14">
        <v>2.2962985290571499E-2</v>
      </c>
      <c r="L32" s="14" t="s">
        <v>235</v>
      </c>
      <c r="M32" s="14" t="s">
        <v>235</v>
      </c>
      <c r="N32" s="14" t="s">
        <v>235</v>
      </c>
      <c r="O32" s="14" t="s">
        <v>235</v>
      </c>
      <c r="P32" s="14" t="s">
        <v>235</v>
      </c>
      <c r="Q32" s="14" t="s">
        <v>235</v>
      </c>
      <c r="R32" s="14" t="s">
        <v>235</v>
      </c>
      <c r="S32" s="14" t="s">
        <v>235</v>
      </c>
      <c r="T32" s="14" t="s">
        <v>235</v>
      </c>
      <c r="U32" s="14" t="s">
        <v>235</v>
      </c>
      <c r="V32" s="14" t="s">
        <v>235</v>
      </c>
      <c r="W32" s="14" t="s">
        <v>235</v>
      </c>
      <c r="X32" s="14" t="s">
        <v>235</v>
      </c>
      <c r="Y32" s="14" t="s">
        <v>235</v>
      </c>
      <c r="AF32">
        <v>50</v>
      </c>
      <c r="AG32">
        <v>231</v>
      </c>
      <c r="AH32">
        <v>2012</v>
      </c>
      <c r="AI32" s="109">
        <v>499455</v>
      </c>
    </row>
    <row r="33" spans="1:35" x14ac:dyDescent="0.3">
      <c r="A33" t="s">
        <v>264</v>
      </c>
      <c r="B33">
        <f t="shared" si="0"/>
        <v>1</v>
      </c>
      <c r="C33" s="65">
        <f t="shared" si="1"/>
        <v>1.6630094043887149E-2</v>
      </c>
      <c r="D33" s="65">
        <f t="shared" si="3"/>
        <v>1.6630094043887149E-2</v>
      </c>
      <c r="E33" s="65">
        <f t="shared" si="2"/>
        <v>0</v>
      </c>
      <c r="F33" s="14" t="s">
        <v>235</v>
      </c>
      <c r="G33" s="14" t="s">
        <v>235</v>
      </c>
      <c r="H33" s="14" t="s">
        <v>235</v>
      </c>
      <c r="I33" s="14" t="s">
        <v>235</v>
      </c>
      <c r="J33" s="14" t="s">
        <v>235</v>
      </c>
      <c r="K33" s="14">
        <v>1.6630094043887149E-2</v>
      </c>
      <c r="L33" s="14" t="s">
        <v>235</v>
      </c>
      <c r="M33" s="14" t="s">
        <v>235</v>
      </c>
      <c r="N33" s="14" t="s">
        <v>235</v>
      </c>
      <c r="O33" s="14" t="s">
        <v>235</v>
      </c>
      <c r="P33" s="14" t="s">
        <v>235</v>
      </c>
      <c r="Q33" s="14" t="s">
        <v>235</v>
      </c>
      <c r="R33" s="14" t="s">
        <v>235</v>
      </c>
      <c r="S33" s="14" t="s">
        <v>235</v>
      </c>
      <c r="T33" s="14" t="s">
        <v>235</v>
      </c>
      <c r="U33" s="14" t="s">
        <v>235</v>
      </c>
      <c r="V33" s="14" t="s">
        <v>235</v>
      </c>
      <c r="W33" s="14" t="s">
        <v>235</v>
      </c>
      <c r="X33" s="14" t="s">
        <v>235</v>
      </c>
      <c r="Y33" s="14" t="s">
        <v>235</v>
      </c>
      <c r="AF33">
        <v>51</v>
      </c>
      <c r="AG33">
        <v>255</v>
      </c>
      <c r="AH33">
        <v>2014</v>
      </c>
      <c r="AI33" s="109">
        <v>470989</v>
      </c>
    </row>
    <row r="34" spans="1:35" x14ac:dyDescent="0.3">
      <c r="A34" t="s">
        <v>265</v>
      </c>
      <c r="B34">
        <f t="shared" si="0"/>
        <v>3</v>
      </c>
      <c r="C34" s="65">
        <f t="shared" si="1"/>
        <v>1.2174493026937469E-2</v>
      </c>
      <c r="D34" s="65">
        <f t="shared" si="3"/>
        <v>8.2609479072981891E-3</v>
      </c>
      <c r="E34" s="65">
        <f t="shared" si="2"/>
        <v>-3.9135451196392803E-3</v>
      </c>
      <c r="F34" s="14" t="s">
        <v>235</v>
      </c>
      <c r="G34" s="14" t="s">
        <v>235</v>
      </c>
      <c r="H34" s="14" t="s">
        <v>235</v>
      </c>
      <c r="I34" s="14" t="s">
        <v>235</v>
      </c>
      <c r="J34" s="14" t="s">
        <v>235</v>
      </c>
      <c r="K34" s="14">
        <v>5.5999651689306856E-3</v>
      </c>
      <c r="L34" s="14" t="s">
        <v>235</v>
      </c>
      <c r="M34" s="14" t="s">
        <v>235</v>
      </c>
      <c r="N34" s="14">
        <v>2.1646841673502873E-3</v>
      </c>
      <c r="O34" s="14" t="s">
        <v>235</v>
      </c>
      <c r="P34" s="14" t="s">
        <v>235</v>
      </c>
      <c r="Q34" s="14" t="s">
        <v>235</v>
      </c>
      <c r="R34" s="14" t="s">
        <v>235</v>
      </c>
      <c r="S34" s="14" t="s">
        <v>235</v>
      </c>
      <c r="T34" s="14" t="s">
        <v>235</v>
      </c>
      <c r="U34" s="14" t="s">
        <v>235</v>
      </c>
      <c r="V34" s="14" t="s">
        <v>235</v>
      </c>
      <c r="W34" s="14">
        <v>2.875882974453144E-2</v>
      </c>
      <c r="X34" s="14" t="s">
        <v>235</v>
      </c>
      <c r="Y34" s="14" t="s">
        <v>235</v>
      </c>
      <c r="AF34">
        <v>52</v>
      </c>
      <c r="AG34">
        <v>302</v>
      </c>
      <c r="AH34">
        <v>2016</v>
      </c>
      <c r="AI34" s="109">
        <v>467879</v>
      </c>
    </row>
    <row r="35" spans="1:35" x14ac:dyDescent="0.3">
      <c r="A35" t="s">
        <v>266</v>
      </c>
      <c r="B35">
        <f t="shared" si="0"/>
        <v>3</v>
      </c>
      <c r="C35" s="65">
        <f t="shared" si="1"/>
        <v>2.9172151015230251E-2</v>
      </c>
      <c r="D35" s="65">
        <f t="shared" si="3"/>
        <v>2.8344071394901638E-2</v>
      </c>
      <c r="E35" s="65">
        <f t="shared" si="2"/>
        <v>-8.2807962032861379E-4</v>
      </c>
      <c r="F35" s="14" t="s">
        <v>235</v>
      </c>
      <c r="G35" s="14" t="s">
        <v>235</v>
      </c>
      <c r="H35" s="14" t="s">
        <v>235</v>
      </c>
      <c r="I35" s="14" t="s">
        <v>235</v>
      </c>
      <c r="J35" s="14" t="s">
        <v>235</v>
      </c>
      <c r="K35" s="14">
        <v>4.0247300592128176E-3</v>
      </c>
      <c r="L35" s="14" t="s">
        <v>235</v>
      </c>
      <c r="M35" s="14">
        <v>6.5755090629513999E-2</v>
      </c>
      <c r="N35" s="14" t="s">
        <v>235</v>
      </c>
      <c r="O35" s="14">
        <v>1.773663235696394E-2</v>
      </c>
      <c r="P35" s="14" t="s">
        <v>235</v>
      </c>
      <c r="Q35" s="14" t="s">
        <v>235</v>
      </c>
      <c r="R35" s="14" t="s">
        <v>235</v>
      </c>
      <c r="S35" s="14" t="s">
        <v>235</v>
      </c>
      <c r="T35" s="14" t="s">
        <v>235</v>
      </c>
      <c r="U35" s="14" t="s">
        <v>235</v>
      </c>
      <c r="V35" s="14" t="s">
        <v>235</v>
      </c>
      <c r="W35" s="14" t="s">
        <v>235</v>
      </c>
      <c r="X35" s="14" t="s">
        <v>235</v>
      </c>
      <c r="Y35" s="14" t="s">
        <v>235</v>
      </c>
      <c r="AF35">
        <v>53</v>
      </c>
      <c r="AG35">
        <v>321</v>
      </c>
      <c r="AH35">
        <v>2017</v>
      </c>
      <c r="AI35" s="109">
        <v>456280</v>
      </c>
    </row>
    <row r="36" spans="1:35" x14ac:dyDescent="0.3">
      <c r="A36" t="s">
        <v>267</v>
      </c>
      <c r="B36">
        <f t="shared" si="0"/>
        <v>2</v>
      </c>
      <c r="C36" s="65">
        <f t="shared" si="1"/>
        <v>1.901446568533843E-3</v>
      </c>
      <c r="D36" s="65">
        <f t="shared" si="3"/>
        <v>1.625451093435456E-3</v>
      </c>
      <c r="E36" s="65">
        <f t="shared" si="2"/>
        <v>-2.7599547509838708E-4</v>
      </c>
      <c r="F36" s="14" t="s">
        <v>235</v>
      </c>
      <c r="G36" s="14" t="s">
        <v>235</v>
      </c>
      <c r="H36" s="14" t="s">
        <v>235</v>
      </c>
      <c r="I36" s="14" t="s">
        <v>235</v>
      </c>
      <c r="J36" s="14" t="s">
        <v>235</v>
      </c>
      <c r="K36" s="14">
        <v>1.1770222115049702E-3</v>
      </c>
      <c r="L36" s="14" t="s">
        <v>235</v>
      </c>
      <c r="M36" s="14" t="s">
        <v>235</v>
      </c>
      <c r="N36" s="14" t="s">
        <v>235</v>
      </c>
      <c r="O36" s="14" t="s">
        <v>235</v>
      </c>
      <c r="P36" s="14" t="s">
        <v>235</v>
      </c>
      <c r="Q36" s="14" t="s">
        <v>235</v>
      </c>
      <c r="R36" s="14" t="s">
        <v>235</v>
      </c>
      <c r="S36" s="14" t="s">
        <v>235</v>
      </c>
      <c r="T36" s="14" t="s">
        <v>235</v>
      </c>
      <c r="U36" s="14">
        <v>2.6258709255627161E-3</v>
      </c>
      <c r="V36" s="14" t="s">
        <v>235</v>
      </c>
      <c r="W36" s="14" t="s">
        <v>235</v>
      </c>
      <c r="X36" s="14" t="s">
        <v>235</v>
      </c>
      <c r="Y36" s="14" t="s">
        <v>235</v>
      </c>
      <c r="AF36">
        <v>54</v>
      </c>
      <c r="AG36">
        <v>345</v>
      </c>
      <c r="AH36">
        <v>2018</v>
      </c>
      <c r="AI36" s="109">
        <v>318780</v>
      </c>
    </row>
    <row r="37" spans="1:35" x14ac:dyDescent="0.3">
      <c r="A37" t="s">
        <v>268</v>
      </c>
      <c r="B37">
        <f t="shared" si="0"/>
        <v>4</v>
      </c>
      <c r="C37" s="65">
        <f t="shared" si="1"/>
        <v>1.6830224780727567E-2</v>
      </c>
      <c r="D37" s="65">
        <f t="shared" si="3"/>
        <v>2.4704899388124632E-2</v>
      </c>
      <c r="E37" s="65">
        <f t="shared" si="2"/>
        <v>7.8746746073970648E-3</v>
      </c>
      <c r="F37" s="14" t="s">
        <v>235</v>
      </c>
      <c r="G37" s="14" t="s">
        <v>235</v>
      </c>
      <c r="H37" s="14" t="s">
        <v>235</v>
      </c>
      <c r="I37" s="14" t="s">
        <v>235</v>
      </c>
      <c r="J37" s="14" t="s">
        <v>235</v>
      </c>
      <c r="K37" s="14" t="s">
        <v>235</v>
      </c>
      <c r="L37" s="14" t="s">
        <v>235</v>
      </c>
      <c r="M37" s="14">
        <v>5.5079291117220382E-2</v>
      </c>
      <c r="N37" s="14" t="s">
        <v>235</v>
      </c>
      <c r="O37" s="14" t="s">
        <v>235</v>
      </c>
      <c r="P37" s="14" t="s">
        <v>235</v>
      </c>
      <c r="Q37" s="14" t="s">
        <v>235</v>
      </c>
      <c r="R37" s="14" t="s">
        <v>235</v>
      </c>
      <c r="S37" s="14" t="s">
        <v>235</v>
      </c>
      <c r="T37" s="14">
        <v>3.5008486109578533E-3</v>
      </c>
      <c r="U37" s="14" t="s">
        <v>235</v>
      </c>
      <c r="V37" s="14">
        <v>1.1487998065179274E-5</v>
      </c>
      <c r="W37" s="14" t="s">
        <v>235</v>
      </c>
      <c r="X37" s="14" t="s">
        <v>235</v>
      </c>
      <c r="Y37" s="14">
        <v>8.7292713966668593E-3</v>
      </c>
      <c r="AF37">
        <v>55</v>
      </c>
      <c r="AG37">
        <v>258</v>
      </c>
      <c r="AH37">
        <v>2014</v>
      </c>
      <c r="AI37" s="109">
        <v>317920</v>
      </c>
    </row>
    <row r="38" spans="1:35" x14ac:dyDescent="0.3">
      <c r="A38" t="s">
        <v>269</v>
      </c>
      <c r="B38">
        <f t="shared" si="0"/>
        <v>1</v>
      </c>
      <c r="C38" s="65">
        <f t="shared" si="1"/>
        <v>2.2938094537821182E-3</v>
      </c>
      <c r="D38" s="65">
        <f t="shared" si="3"/>
        <v>2.2938094537821182E-3</v>
      </c>
      <c r="E38" s="65">
        <f t="shared" si="2"/>
        <v>0</v>
      </c>
      <c r="F38" s="14" t="s">
        <v>235</v>
      </c>
      <c r="G38" s="14" t="s">
        <v>235</v>
      </c>
      <c r="H38" s="14" t="s">
        <v>235</v>
      </c>
      <c r="I38" s="14" t="s">
        <v>235</v>
      </c>
      <c r="J38" s="14" t="s">
        <v>235</v>
      </c>
      <c r="K38" s="14" t="s">
        <v>235</v>
      </c>
      <c r="L38" s="14" t="s">
        <v>235</v>
      </c>
      <c r="M38" s="14" t="s">
        <v>235</v>
      </c>
      <c r="N38" s="14" t="s">
        <v>235</v>
      </c>
      <c r="O38" s="14" t="s">
        <v>235</v>
      </c>
      <c r="P38" s="14">
        <v>2.2938094537821182E-3</v>
      </c>
      <c r="Q38" s="14" t="s">
        <v>235</v>
      </c>
      <c r="R38" s="14" t="s">
        <v>235</v>
      </c>
      <c r="S38" s="14" t="s">
        <v>235</v>
      </c>
      <c r="T38" s="14" t="s">
        <v>235</v>
      </c>
      <c r="U38" s="14" t="s">
        <v>235</v>
      </c>
      <c r="V38" s="14" t="s">
        <v>235</v>
      </c>
      <c r="W38" s="14" t="s">
        <v>235</v>
      </c>
      <c r="X38" s="14" t="s">
        <v>235</v>
      </c>
      <c r="Y38" s="14" t="s">
        <v>235</v>
      </c>
      <c r="AI38" s="109"/>
    </row>
    <row r="39" spans="1:35" x14ac:dyDescent="0.3">
      <c r="A39" t="s">
        <v>270</v>
      </c>
      <c r="B39">
        <f t="shared" si="0"/>
        <v>2</v>
      </c>
      <c r="C39" s="65">
        <f t="shared" si="1"/>
        <v>8.0896261387857524E-4</v>
      </c>
      <c r="D39" s="65">
        <f t="shared" si="3"/>
        <v>7.5137776306022624E-4</v>
      </c>
      <c r="E39" s="65">
        <f t="shared" si="2"/>
        <v>-5.7584850818348998E-5</v>
      </c>
      <c r="F39" s="14" t="s">
        <v>235</v>
      </c>
      <c r="G39" s="14" t="s">
        <v>235</v>
      </c>
      <c r="H39" s="14" t="s">
        <v>235</v>
      </c>
      <c r="I39" s="14" t="s">
        <v>235</v>
      </c>
      <c r="J39" s="14" t="s">
        <v>235</v>
      </c>
      <c r="K39" s="14" t="s">
        <v>235</v>
      </c>
      <c r="L39" s="14" t="s">
        <v>235</v>
      </c>
      <c r="M39" s="14" t="s">
        <v>235</v>
      </c>
      <c r="N39" s="14" t="s">
        <v>235</v>
      </c>
      <c r="O39" s="14" t="s">
        <v>235</v>
      </c>
      <c r="P39" s="14">
        <v>1.065446377338143E-3</v>
      </c>
      <c r="Q39" s="14" t="s">
        <v>235</v>
      </c>
      <c r="R39" s="14">
        <v>5.5247885041900737E-4</v>
      </c>
      <c r="S39" s="14" t="s">
        <v>235</v>
      </c>
      <c r="T39" s="14" t="s">
        <v>235</v>
      </c>
      <c r="U39" s="14" t="s">
        <v>235</v>
      </c>
      <c r="V39" s="14" t="s">
        <v>235</v>
      </c>
      <c r="W39" s="14" t="s">
        <v>235</v>
      </c>
      <c r="X39" s="14" t="s">
        <v>235</v>
      </c>
      <c r="Y39" s="14" t="s">
        <v>235</v>
      </c>
      <c r="AI39" s="109"/>
    </row>
    <row r="40" spans="1:35" x14ac:dyDescent="0.3">
      <c r="A40" t="s">
        <v>271</v>
      </c>
      <c r="B40">
        <f t="shared" si="0"/>
        <v>3</v>
      </c>
      <c r="C40" s="65">
        <f t="shared" si="1"/>
        <v>1.3572113671976712E-3</v>
      </c>
      <c r="D40" s="65">
        <f t="shared" si="3"/>
        <v>9.9442941333119502E-4</v>
      </c>
      <c r="E40" s="65">
        <f t="shared" si="2"/>
        <v>-3.6278195386647621E-4</v>
      </c>
      <c r="F40" s="14" t="s">
        <v>235</v>
      </c>
      <c r="G40" s="14" t="s">
        <v>235</v>
      </c>
      <c r="H40" s="14" t="s">
        <v>235</v>
      </c>
      <c r="I40" s="14" t="s">
        <v>235</v>
      </c>
      <c r="J40" s="14" t="s">
        <v>235</v>
      </c>
      <c r="K40" s="14" t="s">
        <v>235</v>
      </c>
      <c r="L40" s="14" t="s">
        <v>235</v>
      </c>
      <c r="M40" s="14" t="s">
        <v>235</v>
      </c>
      <c r="N40" s="14" t="s">
        <v>235</v>
      </c>
      <c r="O40" s="14" t="s">
        <v>235</v>
      </c>
      <c r="P40" s="14">
        <v>3.3854692983939272E-4</v>
      </c>
      <c r="Q40" s="14" t="s">
        <v>235</v>
      </c>
      <c r="R40" s="14" t="s">
        <v>235</v>
      </c>
      <c r="S40" s="14" t="s">
        <v>235</v>
      </c>
      <c r="T40" s="14" t="s">
        <v>235</v>
      </c>
      <c r="U40" s="14" t="s">
        <v>235</v>
      </c>
      <c r="V40" s="14">
        <v>2.9330672954834031E-3</v>
      </c>
      <c r="W40" s="14" t="s">
        <v>235</v>
      </c>
      <c r="X40" s="14" t="s">
        <v>235</v>
      </c>
      <c r="Y40" s="14">
        <v>8.0001987627021786E-4</v>
      </c>
      <c r="AI40" s="109"/>
    </row>
    <row r="41" spans="1:35" x14ac:dyDescent="0.3">
      <c r="A41" t="s">
        <v>272</v>
      </c>
      <c r="B41">
        <f t="shared" si="0"/>
        <v>2</v>
      </c>
      <c r="C41" s="65">
        <f t="shared" si="1"/>
        <v>2.6372752703904045E-2</v>
      </c>
      <c r="D41" s="65">
        <f t="shared" si="3"/>
        <v>2.4455442946427843E-2</v>
      </c>
      <c r="E41" s="65">
        <f t="shared" si="2"/>
        <v>-1.9173097574762023E-3</v>
      </c>
      <c r="P41" s="14" t="s">
        <v>235</v>
      </c>
      <c r="Q41" s="14">
        <v>3.6080664843110954E-2</v>
      </c>
      <c r="R41" s="14">
        <v>1.6664840564697133E-2</v>
      </c>
      <c r="S41" s="14" t="s">
        <v>235</v>
      </c>
      <c r="T41" s="14" t="s">
        <v>235</v>
      </c>
      <c r="U41" s="14" t="s">
        <v>235</v>
      </c>
      <c r="V41" s="14" t="s">
        <v>235</v>
      </c>
      <c r="W41" s="14" t="s">
        <v>235</v>
      </c>
      <c r="X41" s="14" t="s">
        <v>235</v>
      </c>
      <c r="Y41" s="14" t="s">
        <v>235</v>
      </c>
    </row>
    <row r="42" spans="1:35" x14ac:dyDescent="0.3">
      <c r="A42" t="s">
        <v>273</v>
      </c>
      <c r="B42">
        <f t="shared" si="0"/>
        <v>1</v>
      </c>
      <c r="C42" s="65">
        <f t="shared" si="1"/>
        <v>5.7112221397498594E-2</v>
      </c>
      <c r="D42" s="65">
        <f t="shared" si="3"/>
        <v>5.7112221397498594E-2</v>
      </c>
      <c r="E42" s="65">
        <f t="shared" si="2"/>
        <v>0</v>
      </c>
      <c r="P42" s="14" t="s">
        <v>235</v>
      </c>
      <c r="Q42" s="14" t="s">
        <v>235</v>
      </c>
      <c r="R42" s="14" t="s">
        <v>235</v>
      </c>
      <c r="S42" s="14">
        <v>5.7112221397498594E-2</v>
      </c>
      <c r="T42" s="14" t="s">
        <v>235</v>
      </c>
      <c r="U42" s="14" t="s">
        <v>235</v>
      </c>
      <c r="V42" s="14" t="s">
        <v>235</v>
      </c>
      <c r="W42" s="14" t="s">
        <v>235</v>
      </c>
      <c r="X42" s="14" t="s">
        <v>235</v>
      </c>
      <c r="Y42" s="14" t="s">
        <v>235</v>
      </c>
    </row>
    <row r="43" spans="1:35" x14ac:dyDescent="0.3">
      <c r="A43" t="s">
        <v>274</v>
      </c>
      <c r="B43">
        <f t="shared" si="0"/>
        <v>0</v>
      </c>
      <c r="C43" s="65" t="str">
        <f t="shared" si="1"/>
        <v/>
      </c>
      <c r="D43" s="65">
        <f t="shared" si="3"/>
        <v>0</v>
      </c>
      <c r="E43" s="65">
        <f t="shared" si="2"/>
        <v>0</v>
      </c>
      <c r="P43" s="14" t="s">
        <v>235</v>
      </c>
      <c r="Q43" s="14" t="s">
        <v>235</v>
      </c>
      <c r="R43" s="14" t="s">
        <v>235</v>
      </c>
      <c r="S43" s="14" t="s">
        <v>235</v>
      </c>
      <c r="T43" s="14" t="s">
        <v>235</v>
      </c>
      <c r="U43" s="14" t="s">
        <v>235</v>
      </c>
      <c r="V43" s="14" t="s">
        <v>235</v>
      </c>
      <c r="W43" s="14" t="s">
        <v>235</v>
      </c>
      <c r="X43" s="14" t="s">
        <v>235</v>
      </c>
      <c r="Y43" s="14" t="s">
        <v>235</v>
      </c>
    </row>
    <row r="44" spans="1:35" x14ac:dyDescent="0.3">
      <c r="A44" t="s">
        <v>275</v>
      </c>
      <c r="B44">
        <f t="shared" si="0"/>
        <v>1</v>
      </c>
      <c r="C44" s="65">
        <f t="shared" si="1"/>
        <v>7.0840186151439836E-3</v>
      </c>
      <c r="D44" s="65">
        <f t="shared" si="3"/>
        <v>7.0840186151439836E-3</v>
      </c>
      <c r="E44" s="65">
        <f t="shared" si="2"/>
        <v>0</v>
      </c>
      <c r="P44" s="14" t="s">
        <v>235</v>
      </c>
      <c r="Q44" s="14" t="s">
        <v>235</v>
      </c>
      <c r="R44" s="14" t="s">
        <v>235</v>
      </c>
      <c r="S44" s="14" t="s">
        <v>235</v>
      </c>
      <c r="T44" s="14">
        <v>7.0840186151439836E-3</v>
      </c>
      <c r="U44" s="14" t="s">
        <v>235</v>
      </c>
      <c r="V44" s="14" t="s">
        <v>235</v>
      </c>
      <c r="W44" s="14" t="s">
        <v>235</v>
      </c>
      <c r="X44" s="14" t="s">
        <v>235</v>
      </c>
      <c r="Y44" s="14" t="s">
        <v>235</v>
      </c>
    </row>
    <row r="45" spans="1:35" x14ac:dyDescent="0.3">
      <c r="A45" t="s">
        <v>276</v>
      </c>
      <c r="B45">
        <f t="shared" si="0"/>
        <v>0</v>
      </c>
      <c r="C45" s="65" t="str">
        <f t="shared" si="1"/>
        <v/>
      </c>
      <c r="D45" s="65">
        <f t="shared" si="3"/>
        <v>0</v>
      </c>
      <c r="E45" s="65">
        <f t="shared" si="2"/>
        <v>0</v>
      </c>
      <c r="P45" s="14" t="s">
        <v>235</v>
      </c>
      <c r="Q45" s="14" t="s">
        <v>235</v>
      </c>
      <c r="R45" s="14" t="s">
        <v>235</v>
      </c>
      <c r="S45" s="14" t="s">
        <v>235</v>
      </c>
      <c r="T45" s="14" t="s">
        <v>235</v>
      </c>
      <c r="U45" s="14" t="s">
        <v>235</v>
      </c>
      <c r="V45" s="14" t="s">
        <v>235</v>
      </c>
      <c r="W45" s="14" t="s">
        <v>235</v>
      </c>
      <c r="X45" s="14" t="s">
        <v>235</v>
      </c>
      <c r="Y45" s="14" t="s">
        <v>235</v>
      </c>
    </row>
    <row r="46" spans="1:35" x14ac:dyDescent="0.3">
      <c r="A46" t="s">
        <v>277</v>
      </c>
      <c r="B46">
        <f t="shared" si="0"/>
        <v>0</v>
      </c>
      <c r="C46" s="65" t="str">
        <f t="shared" si="1"/>
        <v/>
      </c>
      <c r="D46" s="65">
        <f t="shared" si="3"/>
        <v>0</v>
      </c>
      <c r="E46" s="65">
        <f t="shared" si="2"/>
        <v>0</v>
      </c>
      <c r="P46" s="14" t="s">
        <v>235</v>
      </c>
      <c r="Q46" s="14" t="s">
        <v>235</v>
      </c>
      <c r="R46" s="14" t="s">
        <v>235</v>
      </c>
      <c r="S46" s="14" t="s">
        <v>235</v>
      </c>
      <c r="T46" s="14" t="s">
        <v>235</v>
      </c>
      <c r="U46" s="14" t="s">
        <v>235</v>
      </c>
      <c r="V46" s="14" t="s">
        <v>235</v>
      </c>
      <c r="W46" s="14" t="s">
        <v>235</v>
      </c>
      <c r="X46" s="14" t="s">
        <v>235</v>
      </c>
      <c r="Y46" s="14" t="s">
        <v>235</v>
      </c>
    </row>
    <row r="47" spans="1:35" x14ac:dyDescent="0.3">
      <c r="A47" t="s">
        <v>271</v>
      </c>
      <c r="B47">
        <f t="shared" si="0"/>
        <v>3</v>
      </c>
      <c r="C47" s="65">
        <f t="shared" si="1"/>
        <v>1.3572113671976712E-3</v>
      </c>
      <c r="D47" s="65">
        <f t="shared" si="3"/>
        <v>9.9442941333119502E-4</v>
      </c>
      <c r="E47" s="65">
        <f t="shared" si="2"/>
        <v>-3.6278195386647621E-4</v>
      </c>
      <c r="P47" s="14">
        <v>3.3854692983939272E-4</v>
      </c>
      <c r="Q47" s="14" t="s">
        <v>235</v>
      </c>
      <c r="R47" s="14" t="s">
        <v>235</v>
      </c>
      <c r="S47" s="14" t="s">
        <v>235</v>
      </c>
      <c r="T47" s="14" t="s">
        <v>235</v>
      </c>
      <c r="U47" s="14" t="s">
        <v>235</v>
      </c>
      <c r="V47" s="14">
        <v>2.9330672954834031E-3</v>
      </c>
      <c r="W47" s="14" t="s">
        <v>235</v>
      </c>
      <c r="X47" s="14" t="s">
        <v>235</v>
      </c>
      <c r="Y47" s="14">
        <v>8.0001987627021786E-4</v>
      </c>
    </row>
    <row r="48" spans="1:35" x14ac:dyDescent="0.3">
      <c r="C48" s="65"/>
      <c r="D48" s="65"/>
      <c r="E48" s="65"/>
      <c r="P48" s="14"/>
      <c r="Q48" s="14"/>
      <c r="R48" s="14"/>
      <c r="S48" s="14"/>
      <c r="T48" s="14"/>
      <c r="U48" s="14"/>
      <c r="V48" s="14"/>
      <c r="W48" s="14"/>
      <c r="X48" s="14"/>
      <c r="Y48" s="14"/>
    </row>
    <row r="49" spans="1:25" x14ac:dyDescent="0.3">
      <c r="C49" s="65"/>
      <c r="D49" s="65"/>
      <c r="E49" s="65"/>
      <c r="P49" s="14"/>
      <c r="Q49" s="14"/>
      <c r="R49" s="14"/>
      <c r="S49" s="14"/>
      <c r="T49" s="14"/>
      <c r="U49" s="14"/>
      <c r="V49" s="14"/>
      <c r="W49" s="14"/>
      <c r="X49" s="14"/>
      <c r="Y49" s="14"/>
    </row>
    <row r="50" spans="1:25" x14ac:dyDescent="0.3">
      <c r="C50" t="s">
        <v>596</v>
      </c>
      <c r="D50" t="s">
        <v>278</v>
      </c>
      <c r="E50" t="s">
        <v>279</v>
      </c>
    </row>
    <row r="51" spans="1:25" x14ac:dyDescent="0.3">
      <c r="A51" t="s">
        <v>234</v>
      </c>
      <c r="C51" s="9">
        <f t="shared" ref="C51:C94" si="4">IFERROR(COUNT(F4:Y4)/COUNT($F$1:$Y$1),0)</f>
        <v>0.1</v>
      </c>
      <c r="D51">
        <f t="shared" ref="D51:D94" si="5">SUMIF(F51:Y51, "&lt;&gt;0", $F$2:$Y$2)</f>
        <v>38257922</v>
      </c>
      <c r="E51" s="14">
        <f t="shared" ref="E51:E94" si="6">SUM(F51:Y51)/SUM($F$2:$Y$2)</f>
        <v>1.5726521229986593E-2</v>
      </c>
      <c r="F51">
        <f t="shared" ref="F51:Y51" si="7">IFERROR(F4*F$2, 0)</f>
        <v>2944783</v>
      </c>
      <c r="G51">
        <f t="shared" si="7"/>
        <v>0</v>
      </c>
      <c r="H51">
        <f t="shared" si="7"/>
        <v>0</v>
      </c>
      <c r="I51">
        <f t="shared" si="7"/>
        <v>0</v>
      </c>
      <c r="J51">
        <f t="shared" si="7"/>
        <v>0</v>
      </c>
      <c r="K51">
        <f t="shared" si="7"/>
        <v>0</v>
      </c>
      <c r="L51">
        <f t="shared" si="7"/>
        <v>0</v>
      </c>
      <c r="M51">
        <f t="shared" si="7"/>
        <v>1099123</v>
      </c>
      <c r="N51">
        <f t="shared" si="7"/>
        <v>0</v>
      </c>
      <c r="O51">
        <f t="shared" si="7"/>
        <v>0</v>
      </c>
      <c r="P51">
        <f t="shared" si="7"/>
        <v>0</v>
      </c>
      <c r="Q51">
        <f t="shared" si="7"/>
        <v>0</v>
      </c>
      <c r="R51">
        <f t="shared" si="7"/>
        <v>0</v>
      </c>
      <c r="S51">
        <f t="shared" si="7"/>
        <v>0</v>
      </c>
      <c r="T51">
        <f t="shared" si="7"/>
        <v>0</v>
      </c>
      <c r="U51">
        <f t="shared" si="7"/>
        <v>0</v>
      </c>
      <c r="V51">
        <f t="shared" si="7"/>
        <v>0</v>
      </c>
      <c r="W51">
        <f t="shared" si="7"/>
        <v>0</v>
      </c>
      <c r="X51">
        <f t="shared" si="7"/>
        <v>0</v>
      </c>
      <c r="Y51">
        <f t="shared" si="7"/>
        <v>0</v>
      </c>
    </row>
    <row r="52" spans="1:25" x14ac:dyDescent="0.3">
      <c r="A52" t="s">
        <v>236</v>
      </c>
      <c r="C52" s="9">
        <f t="shared" si="4"/>
        <v>0.4</v>
      </c>
      <c r="D52">
        <f t="shared" si="5"/>
        <v>112428827</v>
      </c>
      <c r="E52" s="14">
        <f t="shared" si="6"/>
        <v>2.2287331948356172E-2</v>
      </c>
      <c r="F52">
        <f t="shared" ref="F52:Y52" si="8">IFERROR(F5*F$2, 0)</f>
        <v>1511669</v>
      </c>
      <c r="G52">
        <f t="shared" si="8"/>
        <v>1736686</v>
      </c>
      <c r="H52">
        <f t="shared" si="8"/>
        <v>0</v>
      </c>
      <c r="I52">
        <f t="shared" si="8"/>
        <v>0</v>
      </c>
      <c r="J52">
        <f t="shared" si="8"/>
        <v>0</v>
      </c>
      <c r="K52">
        <f t="shared" si="8"/>
        <v>564798</v>
      </c>
      <c r="L52">
        <f t="shared" si="8"/>
        <v>0</v>
      </c>
      <c r="M52">
        <f t="shared" si="8"/>
        <v>0</v>
      </c>
      <c r="N52">
        <f t="shared" si="8"/>
        <v>0</v>
      </c>
      <c r="O52">
        <f t="shared" si="8"/>
        <v>0</v>
      </c>
      <c r="P52">
        <f t="shared" si="8"/>
        <v>57517</v>
      </c>
      <c r="Q52">
        <f t="shared" si="8"/>
        <v>271447</v>
      </c>
      <c r="R52">
        <f t="shared" si="8"/>
        <v>174343</v>
      </c>
      <c r="S52">
        <f t="shared" si="8"/>
        <v>544884</v>
      </c>
      <c r="T52">
        <f t="shared" si="8"/>
        <v>0</v>
      </c>
      <c r="U52">
        <f t="shared" si="8"/>
        <v>0</v>
      </c>
      <c r="V52">
        <f t="shared" si="8"/>
        <v>0</v>
      </c>
      <c r="W52">
        <f t="shared" si="8"/>
        <v>869604.00000000012</v>
      </c>
      <c r="X52">
        <f t="shared" si="8"/>
        <v>0</v>
      </c>
      <c r="Y52">
        <f t="shared" si="8"/>
        <v>0</v>
      </c>
    </row>
    <row r="53" spans="1:25" x14ac:dyDescent="0.3">
      <c r="A53" t="s">
        <v>237</v>
      </c>
      <c r="C53" s="9">
        <f t="shared" si="4"/>
        <v>0.5</v>
      </c>
      <c r="D53">
        <f t="shared" si="5"/>
        <v>131701790</v>
      </c>
      <c r="E53" s="14">
        <f t="shared" si="6"/>
        <v>1.4297960679345197E-2</v>
      </c>
      <c r="F53">
        <f t="shared" ref="F53:Y53" si="9">IFERROR(F6*F$2, 0)</f>
        <v>979974</v>
      </c>
      <c r="G53">
        <f t="shared" si="9"/>
        <v>508417</v>
      </c>
      <c r="H53">
        <f t="shared" si="9"/>
        <v>0</v>
      </c>
      <c r="I53">
        <f t="shared" si="9"/>
        <v>0</v>
      </c>
      <c r="J53">
        <f t="shared" si="9"/>
        <v>0</v>
      </c>
      <c r="K53">
        <f t="shared" si="9"/>
        <v>178911</v>
      </c>
      <c r="L53">
        <f t="shared" si="9"/>
        <v>338748</v>
      </c>
      <c r="M53">
        <f t="shared" si="9"/>
        <v>0</v>
      </c>
      <c r="N53">
        <f t="shared" si="9"/>
        <v>0</v>
      </c>
      <c r="O53">
        <f t="shared" si="9"/>
        <v>0</v>
      </c>
      <c r="P53">
        <f t="shared" si="9"/>
        <v>103997</v>
      </c>
      <c r="Q53">
        <f t="shared" si="9"/>
        <v>500802</v>
      </c>
      <c r="R53">
        <f t="shared" si="9"/>
        <v>0</v>
      </c>
      <c r="S53">
        <f t="shared" si="9"/>
        <v>417033.99999999994</v>
      </c>
      <c r="T53">
        <f t="shared" si="9"/>
        <v>361469</v>
      </c>
      <c r="U53">
        <f t="shared" si="9"/>
        <v>261075</v>
      </c>
      <c r="V53">
        <f t="shared" si="9"/>
        <v>0</v>
      </c>
      <c r="W53">
        <f t="shared" si="9"/>
        <v>26140</v>
      </c>
      <c r="X53">
        <f t="shared" si="9"/>
        <v>0</v>
      </c>
      <c r="Y53">
        <f t="shared" si="9"/>
        <v>0</v>
      </c>
    </row>
    <row r="54" spans="1:25" x14ac:dyDescent="0.3">
      <c r="A54" t="s">
        <v>238</v>
      </c>
      <c r="C54" s="9">
        <f t="shared" si="4"/>
        <v>0.05</v>
      </c>
      <c r="D54">
        <f t="shared" si="5"/>
        <v>22239838</v>
      </c>
      <c r="E54" s="14">
        <f t="shared" si="6"/>
        <v>3.3493135458919309E-4</v>
      </c>
      <c r="F54">
        <f t="shared" ref="F54:Y54" si="10">IFERROR(F7*F$2, 0)</f>
        <v>0</v>
      </c>
      <c r="G54">
        <f t="shared" si="10"/>
        <v>0</v>
      </c>
      <c r="H54">
        <f t="shared" si="10"/>
        <v>0</v>
      </c>
      <c r="I54">
        <f t="shared" si="10"/>
        <v>0</v>
      </c>
      <c r="J54">
        <f t="shared" si="10"/>
        <v>86124</v>
      </c>
      <c r="K54">
        <f t="shared" si="10"/>
        <v>0</v>
      </c>
      <c r="L54">
        <f t="shared" si="10"/>
        <v>0</v>
      </c>
      <c r="M54">
        <f t="shared" si="10"/>
        <v>0</v>
      </c>
      <c r="N54">
        <f t="shared" si="10"/>
        <v>0</v>
      </c>
      <c r="O54">
        <f t="shared" si="10"/>
        <v>0</v>
      </c>
      <c r="P54">
        <f t="shared" si="10"/>
        <v>0</v>
      </c>
      <c r="Q54">
        <f t="shared" si="10"/>
        <v>0</v>
      </c>
      <c r="R54">
        <f t="shared" si="10"/>
        <v>0</v>
      </c>
      <c r="S54">
        <f t="shared" si="10"/>
        <v>0</v>
      </c>
      <c r="T54">
        <f t="shared" si="10"/>
        <v>0</v>
      </c>
      <c r="U54">
        <f t="shared" si="10"/>
        <v>0</v>
      </c>
      <c r="V54">
        <f t="shared" si="10"/>
        <v>0</v>
      </c>
      <c r="W54">
        <f t="shared" si="10"/>
        <v>0</v>
      </c>
      <c r="X54">
        <f t="shared" si="10"/>
        <v>0</v>
      </c>
      <c r="Y54">
        <f t="shared" si="10"/>
        <v>0</v>
      </c>
    </row>
    <row r="55" spans="1:25" x14ac:dyDescent="0.3">
      <c r="A55" t="s">
        <v>239</v>
      </c>
      <c r="C55" s="9">
        <f t="shared" si="4"/>
        <v>0.05</v>
      </c>
      <c r="D55">
        <f t="shared" si="5"/>
        <v>25381322</v>
      </c>
      <c r="E55" s="14">
        <f t="shared" si="6"/>
        <v>1.4174537285162423E-3</v>
      </c>
      <c r="F55">
        <f t="shared" ref="F55:Y55" si="11">IFERROR(F8*F$2, 0)</f>
        <v>364483</v>
      </c>
      <c r="G55">
        <f t="shared" si="11"/>
        <v>0</v>
      </c>
      <c r="H55">
        <f t="shared" si="11"/>
        <v>0</v>
      </c>
      <c r="I55">
        <f t="shared" si="11"/>
        <v>0</v>
      </c>
      <c r="J55">
        <f t="shared" si="11"/>
        <v>0</v>
      </c>
      <c r="K55">
        <f t="shared" si="11"/>
        <v>0</v>
      </c>
      <c r="L55">
        <f t="shared" si="11"/>
        <v>0</v>
      </c>
      <c r="M55">
        <f t="shared" si="11"/>
        <v>0</v>
      </c>
      <c r="N55">
        <f t="shared" si="11"/>
        <v>0</v>
      </c>
      <c r="O55">
        <f t="shared" si="11"/>
        <v>0</v>
      </c>
      <c r="P55">
        <f t="shared" si="11"/>
        <v>0</v>
      </c>
      <c r="Q55">
        <f t="shared" si="11"/>
        <v>0</v>
      </c>
      <c r="R55">
        <f t="shared" si="11"/>
        <v>0</v>
      </c>
      <c r="S55">
        <f t="shared" si="11"/>
        <v>0</v>
      </c>
      <c r="T55">
        <f t="shared" si="11"/>
        <v>0</v>
      </c>
      <c r="U55">
        <f t="shared" si="11"/>
        <v>0</v>
      </c>
      <c r="V55">
        <f t="shared" si="11"/>
        <v>0</v>
      </c>
      <c r="W55">
        <f t="shared" si="11"/>
        <v>0</v>
      </c>
      <c r="X55">
        <f t="shared" si="11"/>
        <v>0</v>
      </c>
      <c r="Y55">
        <f t="shared" si="11"/>
        <v>0</v>
      </c>
    </row>
    <row r="56" spans="1:25" x14ac:dyDescent="0.3">
      <c r="A56" t="s">
        <v>240</v>
      </c>
      <c r="C56" s="9">
        <f t="shared" si="4"/>
        <v>0</v>
      </c>
      <c r="D56">
        <f t="shared" si="5"/>
        <v>0</v>
      </c>
      <c r="E56" s="14">
        <f t="shared" si="6"/>
        <v>0</v>
      </c>
      <c r="F56">
        <f t="shared" ref="F56:Y56" si="12">IFERROR(F9*F$2, 0)</f>
        <v>0</v>
      </c>
      <c r="G56">
        <f t="shared" si="12"/>
        <v>0</v>
      </c>
      <c r="H56">
        <f t="shared" si="12"/>
        <v>0</v>
      </c>
      <c r="I56">
        <f t="shared" si="12"/>
        <v>0</v>
      </c>
      <c r="J56">
        <f t="shared" si="12"/>
        <v>0</v>
      </c>
      <c r="K56">
        <f t="shared" si="12"/>
        <v>0</v>
      </c>
      <c r="L56">
        <f t="shared" si="12"/>
        <v>0</v>
      </c>
      <c r="M56">
        <f t="shared" si="12"/>
        <v>0</v>
      </c>
      <c r="N56">
        <f t="shared" si="12"/>
        <v>0</v>
      </c>
      <c r="O56">
        <f t="shared" si="12"/>
        <v>0</v>
      </c>
      <c r="P56">
        <f t="shared" si="12"/>
        <v>0</v>
      </c>
      <c r="Q56">
        <f t="shared" si="12"/>
        <v>0</v>
      </c>
      <c r="R56">
        <f t="shared" si="12"/>
        <v>0</v>
      </c>
      <c r="S56">
        <f t="shared" si="12"/>
        <v>0</v>
      </c>
      <c r="T56">
        <f t="shared" si="12"/>
        <v>0</v>
      </c>
      <c r="U56">
        <f t="shared" si="12"/>
        <v>0</v>
      </c>
      <c r="V56">
        <f t="shared" si="12"/>
        <v>0</v>
      </c>
      <c r="W56">
        <f t="shared" si="12"/>
        <v>0</v>
      </c>
      <c r="X56">
        <f t="shared" si="12"/>
        <v>0</v>
      </c>
      <c r="Y56">
        <f t="shared" si="12"/>
        <v>0</v>
      </c>
    </row>
    <row r="57" spans="1:25" x14ac:dyDescent="0.3">
      <c r="A57" t="s">
        <v>241</v>
      </c>
      <c r="C57" s="9">
        <f t="shared" si="4"/>
        <v>0.95</v>
      </c>
      <c r="D57">
        <f t="shared" si="5"/>
        <v>248004330</v>
      </c>
      <c r="E57" s="14">
        <f t="shared" si="6"/>
        <v>1.1872236171732284E-2</v>
      </c>
      <c r="F57">
        <f t="shared" ref="F57:Y57" si="13">IFERROR(F10*F$2, 0)</f>
        <v>289347</v>
      </c>
      <c r="G57">
        <f t="shared" si="13"/>
        <v>76236</v>
      </c>
      <c r="H57">
        <f t="shared" si="13"/>
        <v>56442</v>
      </c>
      <c r="I57">
        <f t="shared" si="13"/>
        <v>189564</v>
      </c>
      <c r="J57">
        <f t="shared" si="13"/>
        <v>268544</v>
      </c>
      <c r="K57">
        <f t="shared" si="13"/>
        <v>108756</v>
      </c>
      <c r="L57">
        <f t="shared" si="13"/>
        <v>13540</v>
      </c>
      <c r="M57">
        <f t="shared" si="13"/>
        <v>187740</v>
      </c>
      <c r="N57">
        <f t="shared" si="13"/>
        <v>265042</v>
      </c>
      <c r="O57">
        <f t="shared" si="13"/>
        <v>52195</v>
      </c>
      <c r="P57">
        <f t="shared" si="13"/>
        <v>27813</v>
      </c>
      <c r="Q57">
        <f t="shared" si="13"/>
        <v>746499</v>
      </c>
      <c r="R57">
        <f t="shared" si="13"/>
        <v>457480</v>
      </c>
      <c r="S57">
        <f t="shared" si="13"/>
        <v>127913</v>
      </c>
      <c r="T57">
        <f t="shared" si="13"/>
        <v>0</v>
      </c>
      <c r="U57">
        <f t="shared" si="13"/>
        <v>38788</v>
      </c>
      <c r="V57">
        <f t="shared" si="13"/>
        <v>18817</v>
      </c>
      <c r="W57">
        <f t="shared" si="13"/>
        <v>45572</v>
      </c>
      <c r="X57">
        <f t="shared" si="13"/>
        <v>28715</v>
      </c>
      <c r="Y57">
        <f t="shared" si="13"/>
        <v>53815</v>
      </c>
    </row>
    <row r="58" spans="1:25" x14ac:dyDescent="0.3">
      <c r="A58" t="s">
        <v>242</v>
      </c>
      <c r="C58" s="9">
        <f t="shared" si="4"/>
        <v>0</v>
      </c>
      <c r="D58">
        <f t="shared" si="5"/>
        <v>0</v>
      </c>
      <c r="E58" s="14">
        <f t="shared" si="6"/>
        <v>0</v>
      </c>
      <c r="F58">
        <f t="shared" ref="F58:Y58" si="14">IFERROR(F11*F$2, 0)</f>
        <v>0</v>
      </c>
      <c r="G58">
        <f t="shared" si="14"/>
        <v>0</v>
      </c>
      <c r="H58">
        <f t="shared" si="14"/>
        <v>0</v>
      </c>
      <c r="I58">
        <f t="shared" si="14"/>
        <v>0</v>
      </c>
      <c r="J58">
        <f t="shared" si="14"/>
        <v>0</v>
      </c>
      <c r="K58">
        <f t="shared" si="14"/>
        <v>0</v>
      </c>
      <c r="L58">
        <f t="shared" si="14"/>
        <v>0</v>
      </c>
      <c r="M58">
        <f t="shared" si="14"/>
        <v>0</v>
      </c>
      <c r="N58">
        <f t="shared" si="14"/>
        <v>0</v>
      </c>
      <c r="O58">
        <f t="shared" si="14"/>
        <v>0</v>
      </c>
      <c r="P58">
        <f t="shared" si="14"/>
        <v>0</v>
      </c>
      <c r="Q58">
        <f t="shared" si="14"/>
        <v>0</v>
      </c>
      <c r="R58">
        <f t="shared" si="14"/>
        <v>0</v>
      </c>
      <c r="S58">
        <f t="shared" si="14"/>
        <v>0</v>
      </c>
      <c r="T58">
        <f t="shared" si="14"/>
        <v>0</v>
      </c>
      <c r="U58">
        <f t="shared" si="14"/>
        <v>0</v>
      </c>
      <c r="V58">
        <f t="shared" si="14"/>
        <v>0</v>
      </c>
      <c r="W58">
        <f t="shared" si="14"/>
        <v>0</v>
      </c>
      <c r="X58">
        <f t="shared" si="14"/>
        <v>0</v>
      </c>
      <c r="Y58">
        <f t="shared" si="14"/>
        <v>0</v>
      </c>
    </row>
    <row r="59" spans="1:25" x14ac:dyDescent="0.3">
      <c r="A59" t="s">
        <v>243</v>
      </c>
      <c r="C59" s="9">
        <f t="shared" si="4"/>
        <v>0</v>
      </c>
      <c r="D59">
        <f t="shared" si="5"/>
        <v>0</v>
      </c>
      <c r="E59" s="14">
        <f t="shared" si="6"/>
        <v>0</v>
      </c>
      <c r="F59">
        <f t="shared" ref="F59:Y59" si="15">IFERROR(F12*F$2, 0)</f>
        <v>0</v>
      </c>
      <c r="G59">
        <f t="shared" si="15"/>
        <v>0</v>
      </c>
      <c r="H59">
        <f t="shared" si="15"/>
        <v>0</v>
      </c>
      <c r="I59">
        <f t="shared" si="15"/>
        <v>0</v>
      </c>
      <c r="J59">
        <f t="shared" si="15"/>
        <v>0</v>
      </c>
      <c r="K59">
        <f t="shared" si="15"/>
        <v>0</v>
      </c>
      <c r="L59">
        <f t="shared" si="15"/>
        <v>0</v>
      </c>
      <c r="M59">
        <f t="shared" si="15"/>
        <v>0</v>
      </c>
      <c r="N59">
        <f t="shared" si="15"/>
        <v>0</v>
      </c>
      <c r="O59">
        <f t="shared" si="15"/>
        <v>0</v>
      </c>
      <c r="P59">
        <f t="shared" si="15"/>
        <v>0</v>
      </c>
      <c r="Q59">
        <f t="shared" si="15"/>
        <v>0</v>
      </c>
      <c r="R59">
        <f t="shared" si="15"/>
        <v>0</v>
      </c>
      <c r="S59">
        <f t="shared" si="15"/>
        <v>0</v>
      </c>
      <c r="T59">
        <f t="shared" si="15"/>
        <v>0</v>
      </c>
      <c r="U59">
        <f t="shared" si="15"/>
        <v>0</v>
      </c>
      <c r="V59">
        <f t="shared" si="15"/>
        <v>0</v>
      </c>
      <c r="W59">
        <f t="shared" si="15"/>
        <v>0</v>
      </c>
      <c r="X59">
        <f t="shared" si="15"/>
        <v>0</v>
      </c>
      <c r="Y59">
        <f t="shared" si="15"/>
        <v>0</v>
      </c>
    </row>
    <row r="60" spans="1:25" x14ac:dyDescent="0.3">
      <c r="A60" t="s">
        <v>244</v>
      </c>
      <c r="C60" s="9">
        <f t="shared" si="4"/>
        <v>0.05</v>
      </c>
      <c r="D60">
        <f t="shared" si="5"/>
        <v>22239838</v>
      </c>
      <c r="E60" s="14">
        <f t="shared" si="6"/>
        <v>7.963972580180658E-4</v>
      </c>
      <c r="F60">
        <f t="shared" ref="F60:Y60" si="16">IFERROR(F13*F$2, 0)</f>
        <v>0</v>
      </c>
      <c r="G60">
        <f t="shared" si="16"/>
        <v>0</v>
      </c>
      <c r="H60">
        <f t="shared" si="16"/>
        <v>0</v>
      </c>
      <c r="I60">
        <f t="shared" si="16"/>
        <v>0</v>
      </c>
      <c r="J60">
        <f t="shared" si="16"/>
        <v>204785</v>
      </c>
      <c r="K60">
        <f t="shared" si="16"/>
        <v>0</v>
      </c>
      <c r="L60">
        <f t="shared" si="16"/>
        <v>0</v>
      </c>
      <c r="M60">
        <f t="shared" si="16"/>
        <v>0</v>
      </c>
      <c r="N60">
        <f t="shared" si="16"/>
        <v>0</v>
      </c>
      <c r="O60">
        <f t="shared" si="16"/>
        <v>0</v>
      </c>
      <c r="P60">
        <f t="shared" si="16"/>
        <v>0</v>
      </c>
      <c r="Q60">
        <f t="shared" si="16"/>
        <v>0</v>
      </c>
      <c r="R60">
        <f t="shared" si="16"/>
        <v>0</v>
      </c>
      <c r="S60">
        <f t="shared" si="16"/>
        <v>0</v>
      </c>
      <c r="T60">
        <f t="shared" si="16"/>
        <v>0</v>
      </c>
      <c r="U60">
        <f t="shared" si="16"/>
        <v>0</v>
      </c>
      <c r="V60">
        <f t="shared" si="16"/>
        <v>0</v>
      </c>
      <c r="W60">
        <f t="shared" si="16"/>
        <v>0</v>
      </c>
      <c r="X60">
        <f t="shared" si="16"/>
        <v>0</v>
      </c>
      <c r="Y60">
        <f t="shared" si="16"/>
        <v>0</v>
      </c>
    </row>
    <row r="61" spans="1:25" x14ac:dyDescent="0.3">
      <c r="A61" t="s">
        <v>245</v>
      </c>
      <c r="C61" s="9">
        <f t="shared" si="4"/>
        <v>0.55000000000000004</v>
      </c>
      <c r="D61">
        <f t="shared" si="5"/>
        <v>128205325</v>
      </c>
      <c r="E61" s="14">
        <f t="shared" si="6"/>
        <v>4.4049983219598462E-3</v>
      </c>
      <c r="F61">
        <f t="shared" ref="F61:Y61" si="17">IFERROR(F14*F$2, 0)</f>
        <v>176277</v>
      </c>
      <c r="G61">
        <f t="shared" si="17"/>
        <v>0</v>
      </c>
      <c r="H61">
        <f t="shared" si="17"/>
        <v>23331</v>
      </c>
      <c r="I61">
        <f t="shared" si="17"/>
        <v>0</v>
      </c>
      <c r="J61">
        <f t="shared" si="17"/>
        <v>0</v>
      </c>
      <c r="K61">
        <f t="shared" si="17"/>
        <v>20384</v>
      </c>
      <c r="L61">
        <f t="shared" si="17"/>
        <v>2117</v>
      </c>
      <c r="M61">
        <f t="shared" si="17"/>
        <v>0</v>
      </c>
      <c r="N61">
        <f t="shared" si="17"/>
        <v>436736</v>
      </c>
      <c r="O61">
        <f t="shared" si="17"/>
        <v>96039</v>
      </c>
      <c r="P61">
        <f t="shared" si="17"/>
        <v>0</v>
      </c>
      <c r="Q61">
        <f t="shared" si="17"/>
        <v>0</v>
      </c>
      <c r="R61">
        <f t="shared" si="17"/>
        <v>0</v>
      </c>
      <c r="S61">
        <f t="shared" si="17"/>
        <v>169952</v>
      </c>
      <c r="T61">
        <f t="shared" si="17"/>
        <v>0</v>
      </c>
      <c r="U61">
        <f t="shared" si="17"/>
        <v>0</v>
      </c>
      <c r="V61">
        <f t="shared" si="17"/>
        <v>42814</v>
      </c>
      <c r="W61">
        <f t="shared" si="17"/>
        <v>10499</v>
      </c>
      <c r="X61">
        <f t="shared" si="17"/>
        <v>28343.000000000004</v>
      </c>
      <c r="Y61">
        <f t="shared" si="17"/>
        <v>126206</v>
      </c>
    </row>
    <row r="62" spans="1:25" x14ac:dyDescent="0.3">
      <c r="A62" t="s">
        <v>246</v>
      </c>
      <c r="C62" s="9">
        <f t="shared" si="4"/>
        <v>0.25</v>
      </c>
      <c r="D62">
        <f t="shared" si="5"/>
        <v>61432267</v>
      </c>
      <c r="E62" s="14">
        <f t="shared" si="6"/>
        <v>1.7363198582458382E-3</v>
      </c>
      <c r="F62">
        <f t="shared" ref="F62:Y62" si="18">IFERROR(F15*F$2, 0)</f>
        <v>140450</v>
      </c>
      <c r="G62">
        <f t="shared" si="18"/>
        <v>0</v>
      </c>
      <c r="H62">
        <f t="shared" si="18"/>
        <v>0</v>
      </c>
      <c r="I62">
        <f t="shared" si="18"/>
        <v>0</v>
      </c>
      <c r="J62">
        <f t="shared" si="18"/>
        <v>0</v>
      </c>
      <c r="K62">
        <f t="shared" si="18"/>
        <v>34383</v>
      </c>
      <c r="L62">
        <f t="shared" si="18"/>
        <v>0</v>
      </c>
      <c r="M62">
        <f t="shared" si="18"/>
        <v>0</v>
      </c>
      <c r="N62">
        <f t="shared" si="18"/>
        <v>0</v>
      </c>
      <c r="O62">
        <f t="shared" si="18"/>
        <v>0</v>
      </c>
      <c r="P62">
        <f t="shared" si="18"/>
        <v>42943</v>
      </c>
      <c r="Q62">
        <f t="shared" si="18"/>
        <v>209272</v>
      </c>
      <c r="R62">
        <f t="shared" si="18"/>
        <v>0</v>
      </c>
      <c r="S62">
        <f t="shared" si="18"/>
        <v>0</v>
      </c>
      <c r="T62">
        <f t="shared" si="18"/>
        <v>0</v>
      </c>
      <c r="U62">
        <f t="shared" si="18"/>
        <v>0</v>
      </c>
      <c r="V62">
        <f t="shared" si="18"/>
        <v>0</v>
      </c>
      <c r="W62">
        <f t="shared" si="18"/>
        <v>19428</v>
      </c>
      <c r="X62">
        <f t="shared" si="18"/>
        <v>0</v>
      </c>
      <c r="Y62">
        <f t="shared" si="18"/>
        <v>0</v>
      </c>
    </row>
    <row r="63" spans="1:25" x14ac:dyDescent="0.3">
      <c r="A63" t="s">
        <v>247</v>
      </c>
      <c r="C63" s="9">
        <f t="shared" si="4"/>
        <v>0.6</v>
      </c>
      <c r="D63">
        <f t="shared" si="5"/>
        <v>161192204</v>
      </c>
      <c r="E63" s="14">
        <f t="shared" si="6"/>
        <v>1.4118462611415018E-2</v>
      </c>
      <c r="F63">
        <f t="shared" ref="F63:Y63" si="19">IFERROR(F16*F$2, 0)</f>
        <v>126849.00000000001</v>
      </c>
      <c r="G63">
        <f t="shared" si="19"/>
        <v>0</v>
      </c>
      <c r="H63">
        <f t="shared" si="19"/>
        <v>0</v>
      </c>
      <c r="I63">
        <f t="shared" si="19"/>
        <v>270684</v>
      </c>
      <c r="J63">
        <f t="shared" si="19"/>
        <v>221054.00000000003</v>
      </c>
      <c r="K63">
        <f t="shared" si="19"/>
        <v>716730</v>
      </c>
      <c r="L63">
        <f t="shared" si="19"/>
        <v>1044280</v>
      </c>
      <c r="M63">
        <f t="shared" si="19"/>
        <v>0</v>
      </c>
      <c r="N63">
        <f t="shared" si="19"/>
        <v>0</v>
      </c>
      <c r="O63">
        <f t="shared" si="19"/>
        <v>150</v>
      </c>
      <c r="P63">
        <f t="shared" si="19"/>
        <v>0</v>
      </c>
      <c r="Q63">
        <f t="shared" si="19"/>
        <v>0</v>
      </c>
      <c r="R63">
        <f t="shared" si="19"/>
        <v>116603.00000000001</v>
      </c>
      <c r="S63">
        <f t="shared" si="19"/>
        <v>37730</v>
      </c>
      <c r="T63">
        <f t="shared" si="19"/>
        <v>113048</v>
      </c>
      <c r="U63">
        <f t="shared" si="19"/>
        <v>45208</v>
      </c>
      <c r="V63">
        <f t="shared" si="19"/>
        <v>0</v>
      </c>
      <c r="W63">
        <f t="shared" si="19"/>
        <v>553639</v>
      </c>
      <c r="X63">
        <f t="shared" si="19"/>
        <v>0</v>
      </c>
      <c r="Y63">
        <f t="shared" si="19"/>
        <v>384436</v>
      </c>
    </row>
    <row r="64" spans="1:25" x14ac:dyDescent="0.3">
      <c r="A64" t="s">
        <v>248</v>
      </c>
      <c r="C64" s="9">
        <f t="shared" si="4"/>
        <v>0.15</v>
      </c>
      <c r="D64">
        <f t="shared" si="5"/>
        <v>38122128</v>
      </c>
      <c r="E64" s="14">
        <f t="shared" si="6"/>
        <v>7.4041385777040697E-2</v>
      </c>
      <c r="F64">
        <f t="shared" ref="F64:Y64" si="20">IFERROR(F17*F$2, 0)</f>
        <v>0</v>
      </c>
      <c r="G64">
        <f t="shared" si="20"/>
        <v>0</v>
      </c>
      <c r="H64">
        <f t="shared" si="20"/>
        <v>0</v>
      </c>
      <c r="I64">
        <f t="shared" si="20"/>
        <v>5180927</v>
      </c>
      <c r="J64">
        <f t="shared" si="20"/>
        <v>0</v>
      </c>
      <c r="K64">
        <f t="shared" si="20"/>
        <v>0</v>
      </c>
      <c r="L64">
        <f t="shared" si="20"/>
        <v>0</v>
      </c>
      <c r="M64">
        <f t="shared" si="20"/>
        <v>0</v>
      </c>
      <c r="N64">
        <f t="shared" si="20"/>
        <v>0</v>
      </c>
      <c r="O64">
        <f t="shared" si="20"/>
        <v>0</v>
      </c>
      <c r="P64">
        <f t="shared" si="20"/>
        <v>5529888</v>
      </c>
      <c r="Q64">
        <f t="shared" si="20"/>
        <v>0</v>
      </c>
      <c r="R64">
        <f t="shared" si="20"/>
        <v>0</v>
      </c>
      <c r="S64">
        <f t="shared" si="20"/>
        <v>0</v>
      </c>
      <c r="T64">
        <f t="shared" si="20"/>
        <v>8328132</v>
      </c>
      <c r="U64">
        <f t="shared" si="20"/>
        <v>0</v>
      </c>
      <c r="V64">
        <f t="shared" si="20"/>
        <v>0</v>
      </c>
      <c r="W64">
        <f t="shared" si="20"/>
        <v>0</v>
      </c>
      <c r="X64">
        <f t="shared" si="20"/>
        <v>0</v>
      </c>
      <c r="Y64">
        <f t="shared" si="20"/>
        <v>0</v>
      </c>
    </row>
    <row r="65" spans="1:25" x14ac:dyDescent="0.3">
      <c r="A65" t="s">
        <v>249</v>
      </c>
      <c r="C65" s="9">
        <f t="shared" si="4"/>
        <v>0.05</v>
      </c>
      <c r="D65">
        <f t="shared" si="5"/>
        <v>10066672</v>
      </c>
      <c r="E65" s="14">
        <f t="shared" si="6"/>
        <v>3.5236548749782888E-4</v>
      </c>
      <c r="F65">
        <f t="shared" ref="F65:Y65" si="21">IFERROR(F18*F$2, 0)</f>
        <v>0</v>
      </c>
      <c r="G65">
        <f t="shared" si="21"/>
        <v>0</v>
      </c>
      <c r="H65">
        <f t="shared" si="21"/>
        <v>0</v>
      </c>
      <c r="I65">
        <f t="shared" si="21"/>
        <v>0</v>
      </c>
      <c r="J65">
        <f t="shared" si="21"/>
        <v>0</v>
      </c>
      <c r="K65">
        <f t="shared" si="21"/>
        <v>0</v>
      </c>
      <c r="L65">
        <f t="shared" si="21"/>
        <v>0</v>
      </c>
      <c r="M65">
        <f t="shared" si="21"/>
        <v>0</v>
      </c>
      <c r="N65">
        <f t="shared" si="21"/>
        <v>0</v>
      </c>
      <c r="O65">
        <f t="shared" si="21"/>
        <v>0</v>
      </c>
      <c r="P65">
        <f t="shared" si="21"/>
        <v>0</v>
      </c>
      <c r="Q65">
        <f t="shared" si="21"/>
        <v>0</v>
      </c>
      <c r="R65">
        <f t="shared" si="21"/>
        <v>0</v>
      </c>
      <c r="S65">
        <f t="shared" si="21"/>
        <v>90607</v>
      </c>
      <c r="T65">
        <f t="shared" si="21"/>
        <v>0</v>
      </c>
      <c r="U65">
        <f t="shared" si="21"/>
        <v>0</v>
      </c>
      <c r="V65">
        <f t="shared" si="21"/>
        <v>0</v>
      </c>
      <c r="W65">
        <f t="shared" si="21"/>
        <v>0</v>
      </c>
      <c r="X65">
        <f t="shared" si="21"/>
        <v>0</v>
      </c>
      <c r="Y65">
        <f t="shared" si="21"/>
        <v>0</v>
      </c>
    </row>
    <row r="66" spans="1:25" x14ac:dyDescent="0.3">
      <c r="A66" t="s">
        <v>250</v>
      </c>
      <c r="C66" s="9">
        <f t="shared" si="4"/>
        <v>0</v>
      </c>
      <c r="D66">
        <f t="shared" si="5"/>
        <v>0</v>
      </c>
      <c r="E66" s="14">
        <f t="shared" si="6"/>
        <v>0</v>
      </c>
      <c r="F66">
        <f t="shared" ref="F66:Y66" si="22">IFERROR(F19*F$2, 0)</f>
        <v>0</v>
      </c>
      <c r="G66">
        <f t="shared" si="22"/>
        <v>0</v>
      </c>
      <c r="H66">
        <f t="shared" si="22"/>
        <v>0</v>
      </c>
      <c r="I66">
        <f t="shared" si="22"/>
        <v>0</v>
      </c>
      <c r="J66">
        <f t="shared" si="22"/>
        <v>0</v>
      </c>
      <c r="K66">
        <f t="shared" si="22"/>
        <v>0</v>
      </c>
      <c r="L66">
        <f t="shared" si="22"/>
        <v>0</v>
      </c>
      <c r="M66">
        <f t="shared" si="22"/>
        <v>0</v>
      </c>
      <c r="N66">
        <f t="shared" si="22"/>
        <v>0</v>
      </c>
      <c r="O66">
        <f t="shared" si="22"/>
        <v>0</v>
      </c>
      <c r="P66">
        <f t="shared" si="22"/>
        <v>0</v>
      </c>
      <c r="Q66">
        <f t="shared" si="22"/>
        <v>0</v>
      </c>
      <c r="R66">
        <f t="shared" si="22"/>
        <v>0</v>
      </c>
      <c r="S66">
        <f t="shared" si="22"/>
        <v>0</v>
      </c>
      <c r="T66">
        <f t="shared" si="22"/>
        <v>0</v>
      </c>
      <c r="U66">
        <f t="shared" si="22"/>
        <v>0</v>
      </c>
      <c r="V66">
        <f t="shared" si="22"/>
        <v>0</v>
      </c>
      <c r="W66">
        <f t="shared" si="22"/>
        <v>0</v>
      </c>
      <c r="X66">
        <f t="shared" si="22"/>
        <v>0</v>
      </c>
      <c r="Y66">
        <f t="shared" si="22"/>
        <v>0</v>
      </c>
    </row>
    <row r="67" spans="1:25" x14ac:dyDescent="0.3">
      <c r="A67" t="s">
        <v>251</v>
      </c>
      <c r="C67" s="9">
        <f t="shared" si="4"/>
        <v>0.05</v>
      </c>
      <c r="D67">
        <f t="shared" si="5"/>
        <v>22239838</v>
      </c>
      <c r="E67" s="14">
        <f t="shared" si="6"/>
        <v>1.2544292244943789E-3</v>
      </c>
      <c r="F67">
        <f t="shared" ref="F67:Y67" si="23">IFERROR(F20*F$2, 0)</f>
        <v>0</v>
      </c>
      <c r="G67">
        <f t="shared" si="23"/>
        <v>0</v>
      </c>
      <c r="H67">
        <f t="shared" si="23"/>
        <v>0</v>
      </c>
      <c r="I67">
        <f t="shared" si="23"/>
        <v>0</v>
      </c>
      <c r="J67">
        <f t="shared" si="23"/>
        <v>322563</v>
      </c>
      <c r="K67">
        <f t="shared" si="23"/>
        <v>0</v>
      </c>
      <c r="L67">
        <f t="shared" si="23"/>
        <v>0</v>
      </c>
      <c r="M67">
        <f t="shared" si="23"/>
        <v>0</v>
      </c>
      <c r="N67">
        <f t="shared" si="23"/>
        <v>0</v>
      </c>
      <c r="O67">
        <f t="shared" si="23"/>
        <v>0</v>
      </c>
      <c r="P67">
        <f t="shared" si="23"/>
        <v>0</v>
      </c>
      <c r="Q67">
        <f t="shared" si="23"/>
        <v>0</v>
      </c>
      <c r="R67">
        <f t="shared" si="23"/>
        <v>0</v>
      </c>
      <c r="S67">
        <f t="shared" si="23"/>
        <v>0</v>
      </c>
      <c r="T67">
        <f t="shared" si="23"/>
        <v>0</v>
      </c>
      <c r="U67">
        <f t="shared" si="23"/>
        <v>0</v>
      </c>
      <c r="V67">
        <f t="shared" si="23"/>
        <v>0</v>
      </c>
      <c r="W67">
        <f t="shared" si="23"/>
        <v>0</v>
      </c>
      <c r="X67">
        <f t="shared" si="23"/>
        <v>0</v>
      </c>
      <c r="Y67">
        <f t="shared" si="23"/>
        <v>0</v>
      </c>
    </row>
    <row r="68" spans="1:25" x14ac:dyDescent="0.3">
      <c r="A68" t="s">
        <v>252</v>
      </c>
      <c r="C68" s="9">
        <f t="shared" si="4"/>
        <v>0.05</v>
      </c>
      <c r="D68">
        <f t="shared" si="5"/>
        <v>17041200</v>
      </c>
      <c r="E68" s="14">
        <f t="shared" si="6"/>
        <v>1.298655454625291E-2</v>
      </c>
      <c r="F68">
        <f t="shared" ref="F68:Y68" si="24">IFERROR(F21*F$2, 0)</f>
        <v>0</v>
      </c>
      <c r="G68">
        <f t="shared" si="24"/>
        <v>0</v>
      </c>
      <c r="H68">
        <f t="shared" si="24"/>
        <v>3339353</v>
      </c>
      <c r="I68">
        <f t="shared" si="24"/>
        <v>0</v>
      </c>
      <c r="J68">
        <f t="shared" si="24"/>
        <v>0</v>
      </c>
      <c r="K68">
        <f t="shared" si="24"/>
        <v>0</v>
      </c>
      <c r="L68">
        <f t="shared" si="24"/>
        <v>0</v>
      </c>
      <c r="M68">
        <f t="shared" si="24"/>
        <v>0</v>
      </c>
      <c r="N68">
        <f t="shared" si="24"/>
        <v>0</v>
      </c>
      <c r="O68">
        <f t="shared" si="24"/>
        <v>0</v>
      </c>
      <c r="P68">
        <f t="shared" si="24"/>
        <v>0</v>
      </c>
      <c r="Q68">
        <f t="shared" si="24"/>
        <v>0</v>
      </c>
      <c r="R68">
        <f t="shared" si="24"/>
        <v>0</v>
      </c>
      <c r="S68">
        <f t="shared" si="24"/>
        <v>0</v>
      </c>
      <c r="T68">
        <f t="shared" si="24"/>
        <v>0</v>
      </c>
      <c r="U68">
        <f t="shared" si="24"/>
        <v>0</v>
      </c>
      <c r="V68">
        <f t="shared" si="24"/>
        <v>0</v>
      </c>
      <c r="W68">
        <f t="shared" si="24"/>
        <v>0</v>
      </c>
      <c r="X68">
        <f t="shared" si="24"/>
        <v>0</v>
      </c>
      <c r="Y68">
        <f t="shared" si="24"/>
        <v>0</v>
      </c>
    </row>
    <row r="69" spans="1:25" x14ac:dyDescent="0.3">
      <c r="A69" t="s">
        <v>253</v>
      </c>
      <c r="C69" s="9">
        <f t="shared" si="4"/>
        <v>0</v>
      </c>
      <c r="D69">
        <f t="shared" si="5"/>
        <v>0</v>
      </c>
      <c r="E69" s="14">
        <f t="shared" si="6"/>
        <v>0</v>
      </c>
      <c r="F69">
        <f t="shared" ref="F69:Y69" si="25">IFERROR(F22*F$2, 0)</f>
        <v>0</v>
      </c>
      <c r="G69">
        <f t="shared" si="25"/>
        <v>0</v>
      </c>
      <c r="H69">
        <f t="shared" si="25"/>
        <v>0</v>
      </c>
      <c r="I69">
        <f t="shared" si="25"/>
        <v>0</v>
      </c>
      <c r="J69">
        <f t="shared" si="25"/>
        <v>0</v>
      </c>
      <c r="K69">
        <f t="shared" si="25"/>
        <v>0</v>
      </c>
      <c r="L69">
        <f t="shared" si="25"/>
        <v>0</v>
      </c>
      <c r="M69">
        <f t="shared" si="25"/>
        <v>0</v>
      </c>
      <c r="N69">
        <f t="shared" si="25"/>
        <v>0</v>
      </c>
      <c r="O69">
        <f t="shared" si="25"/>
        <v>0</v>
      </c>
      <c r="P69">
        <f t="shared" si="25"/>
        <v>0</v>
      </c>
      <c r="Q69">
        <f t="shared" si="25"/>
        <v>0</v>
      </c>
      <c r="R69">
        <f t="shared" si="25"/>
        <v>0</v>
      </c>
      <c r="S69">
        <f t="shared" si="25"/>
        <v>0</v>
      </c>
      <c r="T69">
        <f t="shared" si="25"/>
        <v>0</v>
      </c>
      <c r="U69">
        <f t="shared" si="25"/>
        <v>0</v>
      </c>
      <c r="V69">
        <f t="shared" si="25"/>
        <v>0</v>
      </c>
      <c r="W69">
        <f t="shared" si="25"/>
        <v>0</v>
      </c>
      <c r="X69">
        <f t="shared" si="25"/>
        <v>0</v>
      </c>
      <c r="Y69">
        <f t="shared" si="25"/>
        <v>0</v>
      </c>
    </row>
    <row r="70" spans="1:25" x14ac:dyDescent="0.3">
      <c r="A70" t="s">
        <v>254</v>
      </c>
      <c r="C70" s="9">
        <f t="shared" si="4"/>
        <v>0.5</v>
      </c>
      <c r="D70">
        <f t="shared" si="5"/>
        <v>124895030</v>
      </c>
      <c r="E70" s="14">
        <f t="shared" si="6"/>
        <v>1.0712611607520467E-2</v>
      </c>
      <c r="F70">
        <f t="shared" ref="F70:Y70" si="26">IFERROR(F23*F$2, 0)</f>
        <v>0</v>
      </c>
      <c r="G70">
        <f t="shared" si="26"/>
        <v>0</v>
      </c>
      <c r="H70">
        <f t="shared" si="26"/>
        <v>556064</v>
      </c>
      <c r="I70">
        <f t="shared" si="26"/>
        <v>523030.00000000006</v>
      </c>
      <c r="J70">
        <f t="shared" si="26"/>
        <v>103313</v>
      </c>
      <c r="K70">
        <f t="shared" si="26"/>
        <v>0</v>
      </c>
      <c r="L70">
        <f t="shared" si="26"/>
        <v>0</v>
      </c>
      <c r="M70">
        <f t="shared" si="26"/>
        <v>652111</v>
      </c>
      <c r="N70">
        <f t="shared" si="26"/>
        <v>0</v>
      </c>
      <c r="O70">
        <f t="shared" si="26"/>
        <v>155</v>
      </c>
      <c r="P70">
        <f t="shared" si="26"/>
        <v>53034</v>
      </c>
      <c r="Q70">
        <f t="shared" si="26"/>
        <v>259815</v>
      </c>
      <c r="R70">
        <f t="shared" si="26"/>
        <v>156567</v>
      </c>
      <c r="S70">
        <f t="shared" si="26"/>
        <v>0</v>
      </c>
      <c r="T70">
        <f t="shared" si="26"/>
        <v>381471</v>
      </c>
      <c r="U70">
        <f t="shared" si="26"/>
        <v>0</v>
      </c>
      <c r="V70">
        <f t="shared" si="26"/>
        <v>69073</v>
      </c>
      <c r="W70">
        <f t="shared" si="26"/>
        <v>0</v>
      </c>
      <c r="X70">
        <f t="shared" si="26"/>
        <v>0</v>
      </c>
      <c r="Y70">
        <f t="shared" si="26"/>
        <v>0</v>
      </c>
    </row>
    <row r="71" spans="1:25" x14ac:dyDescent="0.3">
      <c r="A71" t="s">
        <v>255</v>
      </c>
      <c r="C71" s="9">
        <f t="shared" si="4"/>
        <v>0</v>
      </c>
      <c r="D71">
        <f t="shared" si="5"/>
        <v>0</v>
      </c>
      <c r="E71" s="14">
        <f t="shared" si="6"/>
        <v>0</v>
      </c>
      <c r="F71">
        <f t="shared" ref="F71:Y71" si="27">IFERROR(F24*F$2, 0)</f>
        <v>0</v>
      </c>
      <c r="G71">
        <f t="shared" si="27"/>
        <v>0</v>
      </c>
      <c r="H71">
        <f t="shared" si="27"/>
        <v>0</v>
      </c>
      <c r="I71">
        <f t="shared" si="27"/>
        <v>0</v>
      </c>
      <c r="J71">
        <f t="shared" si="27"/>
        <v>0</v>
      </c>
      <c r="K71">
        <f t="shared" si="27"/>
        <v>0</v>
      </c>
      <c r="L71">
        <f t="shared" si="27"/>
        <v>0</v>
      </c>
      <c r="M71">
        <f t="shared" si="27"/>
        <v>0</v>
      </c>
      <c r="N71">
        <f t="shared" si="27"/>
        <v>0</v>
      </c>
      <c r="O71">
        <f t="shared" si="27"/>
        <v>0</v>
      </c>
      <c r="P71">
        <f t="shared" si="27"/>
        <v>0</v>
      </c>
      <c r="Q71">
        <f t="shared" si="27"/>
        <v>0</v>
      </c>
      <c r="R71">
        <f t="shared" si="27"/>
        <v>0</v>
      </c>
      <c r="S71">
        <f t="shared" si="27"/>
        <v>0</v>
      </c>
      <c r="T71">
        <f t="shared" si="27"/>
        <v>0</v>
      </c>
      <c r="U71">
        <f t="shared" si="27"/>
        <v>0</v>
      </c>
      <c r="V71">
        <f t="shared" si="27"/>
        <v>0</v>
      </c>
      <c r="W71">
        <f t="shared" si="27"/>
        <v>0</v>
      </c>
      <c r="X71">
        <f t="shared" si="27"/>
        <v>0</v>
      </c>
      <c r="Y71">
        <f t="shared" si="27"/>
        <v>0</v>
      </c>
    </row>
    <row r="72" spans="1:25" x14ac:dyDescent="0.3">
      <c r="A72" t="s">
        <v>256</v>
      </c>
      <c r="C72" s="9">
        <f t="shared" si="4"/>
        <v>0.35</v>
      </c>
      <c r="D72">
        <f t="shared" si="5"/>
        <v>68780860</v>
      </c>
      <c r="E72" s="14">
        <f t="shared" si="6"/>
        <v>1.1176123095136255E-3</v>
      </c>
      <c r="F72">
        <f t="shared" ref="F72:Y72" si="28">IFERROR(F25*F$2, 0)</f>
        <v>0</v>
      </c>
      <c r="G72">
        <f t="shared" si="28"/>
        <v>0</v>
      </c>
      <c r="H72">
        <f t="shared" si="28"/>
        <v>34828</v>
      </c>
      <c r="I72">
        <f t="shared" si="28"/>
        <v>0</v>
      </c>
      <c r="J72">
        <f t="shared" si="28"/>
        <v>0</v>
      </c>
      <c r="K72">
        <f t="shared" si="28"/>
        <v>0</v>
      </c>
      <c r="L72">
        <f t="shared" si="28"/>
        <v>7112</v>
      </c>
      <c r="M72">
        <f t="shared" si="28"/>
        <v>0</v>
      </c>
      <c r="N72">
        <f t="shared" si="28"/>
        <v>0</v>
      </c>
      <c r="O72">
        <f t="shared" si="28"/>
        <v>62.999999999999993</v>
      </c>
      <c r="P72">
        <f t="shared" si="28"/>
        <v>0</v>
      </c>
      <c r="Q72">
        <f t="shared" si="28"/>
        <v>131006</v>
      </c>
      <c r="R72">
        <f t="shared" si="28"/>
        <v>0</v>
      </c>
      <c r="S72">
        <f t="shared" si="28"/>
        <v>0</v>
      </c>
      <c r="T72">
        <f t="shared" si="28"/>
        <v>0</v>
      </c>
      <c r="U72">
        <f t="shared" si="28"/>
        <v>0</v>
      </c>
      <c r="V72">
        <f t="shared" si="28"/>
        <v>6732</v>
      </c>
      <c r="W72">
        <f t="shared" si="28"/>
        <v>0</v>
      </c>
      <c r="X72">
        <f t="shared" si="28"/>
        <v>48917</v>
      </c>
      <c r="Y72">
        <f t="shared" si="28"/>
        <v>58723.999999999993</v>
      </c>
    </row>
    <row r="73" spans="1:25" x14ac:dyDescent="0.3">
      <c r="A73" t="s">
        <v>257</v>
      </c>
      <c r="C73" s="9">
        <f t="shared" si="4"/>
        <v>0.1</v>
      </c>
      <c r="D73">
        <f t="shared" si="5"/>
        <v>30492462</v>
      </c>
      <c r="E73" s="14">
        <f t="shared" si="6"/>
        <v>9.9575110386295046E-3</v>
      </c>
      <c r="F73">
        <f t="shared" ref="F73:Y73" si="29">IFERROR(F26*F$2, 0)</f>
        <v>0</v>
      </c>
      <c r="G73">
        <f t="shared" si="29"/>
        <v>0</v>
      </c>
      <c r="H73">
        <f t="shared" si="29"/>
        <v>0</v>
      </c>
      <c r="I73">
        <f t="shared" si="29"/>
        <v>1589460.0000000002</v>
      </c>
      <c r="J73">
        <f t="shared" si="29"/>
        <v>0</v>
      </c>
      <c r="K73">
        <f t="shared" si="29"/>
        <v>0</v>
      </c>
      <c r="L73">
        <f t="shared" si="29"/>
        <v>0</v>
      </c>
      <c r="M73">
        <f t="shared" si="29"/>
        <v>0</v>
      </c>
      <c r="N73">
        <f t="shared" si="29"/>
        <v>0</v>
      </c>
      <c r="O73">
        <f t="shared" si="29"/>
        <v>0</v>
      </c>
      <c r="P73">
        <f t="shared" si="29"/>
        <v>0</v>
      </c>
      <c r="Q73">
        <f t="shared" si="29"/>
        <v>0</v>
      </c>
      <c r="R73">
        <f t="shared" si="29"/>
        <v>0</v>
      </c>
      <c r="S73">
        <f t="shared" si="29"/>
        <v>0</v>
      </c>
      <c r="T73">
        <f t="shared" si="29"/>
        <v>971007</v>
      </c>
      <c r="U73">
        <f t="shared" si="29"/>
        <v>0</v>
      </c>
      <c r="V73">
        <f t="shared" si="29"/>
        <v>0</v>
      </c>
      <c r="W73">
        <f t="shared" si="29"/>
        <v>0</v>
      </c>
      <c r="X73">
        <f t="shared" si="29"/>
        <v>0</v>
      </c>
      <c r="Y73">
        <f t="shared" si="29"/>
        <v>0</v>
      </c>
    </row>
    <row r="74" spans="1:25" x14ac:dyDescent="0.3">
      <c r="A74" t="s">
        <v>258</v>
      </c>
      <c r="C74" s="9">
        <f t="shared" si="4"/>
        <v>0.35</v>
      </c>
      <c r="D74">
        <f t="shared" si="5"/>
        <v>84659062</v>
      </c>
      <c r="E74" s="14">
        <f t="shared" si="6"/>
        <v>1.873845727594034E-2</v>
      </c>
      <c r="F74">
        <f t="shared" ref="F74:Y74" si="30">IFERROR(F27*F$2, 0)</f>
        <v>0</v>
      </c>
      <c r="G74">
        <f t="shared" si="30"/>
        <v>0</v>
      </c>
      <c r="H74">
        <f t="shared" si="30"/>
        <v>0</v>
      </c>
      <c r="I74">
        <f t="shared" si="30"/>
        <v>1539640.9999999998</v>
      </c>
      <c r="J74">
        <f t="shared" si="30"/>
        <v>0</v>
      </c>
      <c r="K74">
        <f t="shared" si="30"/>
        <v>0</v>
      </c>
      <c r="L74">
        <f t="shared" si="30"/>
        <v>1105209</v>
      </c>
      <c r="M74">
        <f t="shared" si="30"/>
        <v>271009</v>
      </c>
      <c r="N74">
        <f t="shared" si="30"/>
        <v>0</v>
      </c>
      <c r="O74">
        <f t="shared" si="30"/>
        <v>39</v>
      </c>
      <c r="P74">
        <f t="shared" si="30"/>
        <v>0</v>
      </c>
      <c r="Q74">
        <f t="shared" si="30"/>
        <v>0</v>
      </c>
      <c r="R74">
        <f t="shared" si="30"/>
        <v>0</v>
      </c>
      <c r="S74">
        <f t="shared" si="30"/>
        <v>687810</v>
      </c>
      <c r="T74">
        <f t="shared" si="30"/>
        <v>0</v>
      </c>
      <c r="U74">
        <f t="shared" si="30"/>
        <v>0</v>
      </c>
      <c r="V74">
        <f t="shared" si="30"/>
        <v>0</v>
      </c>
      <c r="W74">
        <f t="shared" si="30"/>
        <v>0</v>
      </c>
      <c r="X74">
        <f t="shared" si="30"/>
        <v>528156</v>
      </c>
      <c r="Y74">
        <f t="shared" si="30"/>
        <v>686529</v>
      </c>
    </row>
    <row r="75" spans="1:25" x14ac:dyDescent="0.3">
      <c r="A75" t="s">
        <v>259</v>
      </c>
      <c r="C75" s="9">
        <f t="shared" si="4"/>
        <v>0</v>
      </c>
      <c r="D75">
        <f t="shared" si="5"/>
        <v>0</v>
      </c>
      <c r="E75" s="14">
        <f t="shared" si="6"/>
        <v>0</v>
      </c>
      <c r="F75">
        <f t="shared" ref="F75:Y75" si="31">IFERROR(F28*F$2, 0)</f>
        <v>0</v>
      </c>
      <c r="G75">
        <f t="shared" si="31"/>
        <v>0</v>
      </c>
      <c r="H75">
        <f t="shared" si="31"/>
        <v>0</v>
      </c>
      <c r="I75">
        <f t="shared" si="31"/>
        <v>0</v>
      </c>
      <c r="J75">
        <f t="shared" si="31"/>
        <v>0</v>
      </c>
      <c r="K75">
        <f t="shared" si="31"/>
        <v>0</v>
      </c>
      <c r="L75">
        <f t="shared" si="31"/>
        <v>0</v>
      </c>
      <c r="M75">
        <f t="shared" si="31"/>
        <v>0</v>
      </c>
      <c r="N75">
        <f t="shared" si="31"/>
        <v>0</v>
      </c>
      <c r="O75">
        <f t="shared" si="31"/>
        <v>0</v>
      </c>
      <c r="P75">
        <f t="shared" si="31"/>
        <v>0</v>
      </c>
      <c r="Q75">
        <f t="shared" si="31"/>
        <v>0</v>
      </c>
      <c r="R75">
        <f t="shared" si="31"/>
        <v>0</v>
      </c>
      <c r="S75">
        <f t="shared" si="31"/>
        <v>0</v>
      </c>
      <c r="T75">
        <f t="shared" si="31"/>
        <v>0</v>
      </c>
      <c r="U75">
        <f t="shared" si="31"/>
        <v>0</v>
      </c>
      <c r="V75">
        <f t="shared" si="31"/>
        <v>0</v>
      </c>
      <c r="W75">
        <f t="shared" si="31"/>
        <v>0</v>
      </c>
      <c r="X75">
        <f t="shared" si="31"/>
        <v>0</v>
      </c>
      <c r="Y75">
        <f t="shared" si="31"/>
        <v>0</v>
      </c>
    </row>
    <row r="76" spans="1:25" x14ac:dyDescent="0.3">
      <c r="A76" t="s">
        <v>260</v>
      </c>
      <c r="C76" s="9">
        <f t="shared" si="4"/>
        <v>0.4</v>
      </c>
      <c r="D76">
        <f t="shared" si="5"/>
        <v>100824718</v>
      </c>
      <c r="E76" s="14">
        <f t="shared" si="6"/>
        <v>8.2154705447582798E-4</v>
      </c>
      <c r="F76">
        <f t="shared" ref="F76:Y76" si="32">IFERROR(F29*F$2, 0)</f>
        <v>0</v>
      </c>
      <c r="G76">
        <f t="shared" si="32"/>
        <v>0</v>
      </c>
      <c r="H76">
        <f t="shared" si="32"/>
        <v>0</v>
      </c>
      <c r="I76">
        <f t="shared" si="32"/>
        <v>64297</v>
      </c>
      <c r="J76">
        <f t="shared" si="32"/>
        <v>36062</v>
      </c>
      <c r="K76">
        <f t="shared" si="32"/>
        <v>10783</v>
      </c>
      <c r="L76">
        <f t="shared" si="32"/>
        <v>0</v>
      </c>
      <c r="M76">
        <f t="shared" si="32"/>
        <v>0</v>
      </c>
      <c r="N76">
        <f t="shared" si="32"/>
        <v>0</v>
      </c>
      <c r="O76">
        <f t="shared" si="32"/>
        <v>0</v>
      </c>
      <c r="P76">
        <f t="shared" si="32"/>
        <v>0</v>
      </c>
      <c r="Q76">
        <f t="shared" si="32"/>
        <v>14266</v>
      </c>
      <c r="R76">
        <f t="shared" si="32"/>
        <v>6306</v>
      </c>
      <c r="S76">
        <f t="shared" si="32"/>
        <v>50425</v>
      </c>
      <c r="T76">
        <f t="shared" si="32"/>
        <v>0</v>
      </c>
      <c r="U76">
        <f t="shared" si="32"/>
        <v>10783</v>
      </c>
      <c r="V76">
        <f t="shared" si="32"/>
        <v>0</v>
      </c>
      <c r="W76">
        <f t="shared" si="32"/>
        <v>18330</v>
      </c>
      <c r="X76">
        <f t="shared" si="32"/>
        <v>0</v>
      </c>
      <c r="Y76">
        <f t="shared" si="32"/>
        <v>0</v>
      </c>
    </row>
    <row r="77" spans="1:25" x14ac:dyDescent="0.3">
      <c r="A77" t="s">
        <v>261</v>
      </c>
      <c r="C77" s="9">
        <f t="shared" si="4"/>
        <v>0.15</v>
      </c>
      <c r="D77">
        <f t="shared" si="5"/>
        <v>35287979</v>
      </c>
      <c r="E77" s="14">
        <f t="shared" si="6"/>
        <v>4.2810654762020042E-4</v>
      </c>
      <c r="F77">
        <f t="shared" ref="F77:Y77" si="33">IFERROR(F30*F$2, 0)</f>
        <v>0</v>
      </c>
      <c r="G77">
        <f t="shared" si="33"/>
        <v>0</v>
      </c>
      <c r="H77">
        <f t="shared" si="33"/>
        <v>0</v>
      </c>
      <c r="I77">
        <f t="shared" si="33"/>
        <v>0</v>
      </c>
      <c r="J77">
        <f t="shared" si="33"/>
        <v>78483</v>
      </c>
      <c r="K77">
        <f t="shared" si="33"/>
        <v>0</v>
      </c>
      <c r="L77">
        <f t="shared" si="33"/>
        <v>0</v>
      </c>
      <c r="M77">
        <f t="shared" si="33"/>
        <v>0</v>
      </c>
      <c r="N77">
        <f t="shared" si="33"/>
        <v>0</v>
      </c>
      <c r="O77">
        <f t="shared" si="33"/>
        <v>0</v>
      </c>
      <c r="P77">
        <f t="shared" si="33"/>
        <v>20817</v>
      </c>
      <c r="Q77">
        <f t="shared" si="33"/>
        <v>0</v>
      </c>
      <c r="R77">
        <f t="shared" si="33"/>
        <v>0</v>
      </c>
      <c r="S77">
        <f t="shared" si="33"/>
        <v>0</v>
      </c>
      <c r="T77">
        <f t="shared" si="33"/>
        <v>0</v>
      </c>
      <c r="U77">
        <f t="shared" si="33"/>
        <v>0</v>
      </c>
      <c r="V77">
        <f t="shared" si="33"/>
        <v>0</v>
      </c>
      <c r="W77">
        <f t="shared" si="33"/>
        <v>10783</v>
      </c>
      <c r="X77">
        <f t="shared" si="33"/>
        <v>0</v>
      </c>
      <c r="Y77">
        <f t="shared" si="33"/>
        <v>0</v>
      </c>
    </row>
    <row r="78" spans="1:25" x14ac:dyDescent="0.3">
      <c r="A78" t="s">
        <v>262</v>
      </c>
      <c r="C78" s="9">
        <f t="shared" si="4"/>
        <v>0</v>
      </c>
      <c r="D78">
        <f t="shared" si="5"/>
        <v>0</v>
      </c>
      <c r="E78" s="14">
        <f t="shared" si="6"/>
        <v>0</v>
      </c>
      <c r="F78">
        <f t="shared" ref="F78:Y78" si="34">IFERROR(F31*F$2, 0)</f>
        <v>0</v>
      </c>
      <c r="G78">
        <f t="shared" si="34"/>
        <v>0</v>
      </c>
      <c r="H78">
        <f t="shared" si="34"/>
        <v>0</v>
      </c>
      <c r="I78">
        <f t="shared" si="34"/>
        <v>0</v>
      </c>
      <c r="J78">
        <f t="shared" si="34"/>
        <v>0</v>
      </c>
      <c r="K78">
        <f t="shared" si="34"/>
        <v>0</v>
      </c>
      <c r="L78">
        <f t="shared" si="34"/>
        <v>0</v>
      </c>
      <c r="M78">
        <f t="shared" si="34"/>
        <v>0</v>
      </c>
      <c r="N78">
        <f t="shared" si="34"/>
        <v>0</v>
      </c>
      <c r="O78">
        <f t="shared" si="34"/>
        <v>0</v>
      </c>
      <c r="P78">
        <f t="shared" si="34"/>
        <v>0</v>
      </c>
      <c r="Q78">
        <f t="shared" si="34"/>
        <v>0</v>
      </c>
      <c r="R78">
        <f t="shared" si="34"/>
        <v>0</v>
      </c>
      <c r="S78">
        <f t="shared" si="34"/>
        <v>0</v>
      </c>
      <c r="T78">
        <f t="shared" si="34"/>
        <v>0</v>
      </c>
      <c r="U78">
        <f t="shared" si="34"/>
        <v>0</v>
      </c>
      <c r="V78">
        <f t="shared" si="34"/>
        <v>0</v>
      </c>
      <c r="W78">
        <f t="shared" si="34"/>
        <v>0</v>
      </c>
      <c r="X78">
        <f t="shared" si="34"/>
        <v>0</v>
      </c>
      <c r="Y78">
        <f t="shared" si="34"/>
        <v>0</v>
      </c>
    </row>
    <row r="79" spans="1:25" x14ac:dyDescent="0.3">
      <c r="A79" t="s">
        <v>263</v>
      </c>
      <c r="C79" s="9">
        <f t="shared" si="4"/>
        <v>0.05</v>
      </c>
      <c r="D79">
        <f t="shared" si="5"/>
        <v>14929200</v>
      </c>
      <c r="E79" s="14">
        <f t="shared" si="6"/>
        <v>1.3332036604072335E-3</v>
      </c>
      <c r="F79">
        <f t="shared" ref="F79:Y79" si="35">IFERROR(F32*F$2, 0)</f>
        <v>0</v>
      </c>
      <c r="G79">
        <f t="shared" si="35"/>
        <v>0</v>
      </c>
      <c r="H79">
        <f t="shared" si="35"/>
        <v>0</v>
      </c>
      <c r="I79">
        <f t="shared" si="35"/>
        <v>0</v>
      </c>
      <c r="J79">
        <f t="shared" si="35"/>
        <v>0</v>
      </c>
      <c r="K79">
        <f t="shared" si="35"/>
        <v>342819</v>
      </c>
      <c r="L79">
        <f t="shared" si="35"/>
        <v>0</v>
      </c>
      <c r="M79">
        <f t="shared" si="35"/>
        <v>0</v>
      </c>
      <c r="N79">
        <f t="shared" si="35"/>
        <v>0</v>
      </c>
      <c r="O79">
        <f t="shared" si="35"/>
        <v>0</v>
      </c>
      <c r="P79">
        <f t="shared" si="35"/>
        <v>0</v>
      </c>
      <c r="Q79">
        <f t="shared" si="35"/>
        <v>0</v>
      </c>
      <c r="R79">
        <f t="shared" si="35"/>
        <v>0</v>
      </c>
      <c r="S79">
        <f t="shared" si="35"/>
        <v>0</v>
      </c>
      <c r="T79">
        <f t="shared" si="35"/>
        <v>0</v>
      </c>
      <c r="U79">
        <f t="shared" si="35"/>
        <v>0</v>
      </c>
      <c r="V79">
        <f t="shared" si="35"/>
        <v>0</v>
      </c>
      <c r="W79">
        <f t="shared" si="35"/>
        <v>0</v>
      </c>
      <c r="X79">
        <f t="shared" si="35"/>
        <v>0</v>
      </c>
      <c r="Y79">
        <f t="shared" si="35"/>
        <v>0</v>
      </c>
    </row>
    <row r="80" spans="1:25" x14ac:dyDescent="0.3">
      <c r="A80" t="s">
        <v>264</v>
      </c>
      <c r="C80" s="9">
        <f t="shared" si="4"/>
        <v>0.05</v>
      </c>
      <c r="D80">
        <f t="shared" si="5"/>
        <v>14929200</v>
      </c>
      <c r="E80" s="14">
        <f t="shared" si="6"/>
        <v>9.6552351411078598E-4</v>
      </c>
      <c r="F80">
        <f t="shared" ref="F80:Y80" si="36">IFERROR(F33*F$2, 0)</f>
        <v>0</v>
      </c>
      <c r="G80">
        <f t="shared" si="36"/>
        <v>0</v>
      </c>
      <c r="H80">
        <f t="shared" si="36"/>
        <v>0</v>
      </c>
      <c r="I80">
        <f t="shared" si="36"/>
        <v>0</v>
      </c>
      <c r="J80">
        <f t="shared" si="36"/>
        <v>0</v>
      </c>
      <c r="K80">
        <f t="shared" si="36"/>
        <v>248274.00000000003</v>
      </c>
      <c r="L80">
        <f t="shared" si="36"/>
        <v>0</v>
      </c>
      <c r="M80">
        <f t="shared" si="36"/>
        <v>0</v>
      </c>
      <c r="N80">
        <f t="shared" si="36"/>
        <v>0</v>
      </c>
      <c r="O80">
        <f t="shared" si="36"/>
        <v>0</v>
      </c>
      <c r="P80">
        <f t="shared" si="36"/>
        <v>0</v>
      </c>
      <c r="Q80">
        <f t="shared" si="36"/>
        <v>0</v>
      </c>
      <c r="R80">
        <f t="shared" si="36"/>
        <v>0</v>
      </c>
      <c r="S80">
        <f t="shared" si="36"/>
        <v>0</v>
      </c>
      <c r="T80">
        <f t="shared" si="36"/>
        <v>0</v>
      </c>
      <c r="U80">
        <f t="shared" si="36"/>
        <v>0</v>
      </c>
      <c r="V80">
        <f t="shared" si="36"/>
        <v>0</v>
      </c>
      <c r="W80">
        <f t="shared" si="36"/>
        <v>0</v>
      </c>
      <c r="X80">
        <f t="shared" si="36"/>
        <v>0</v>
      </c>
      <c r="Y80">
        <f t="shared" si="36"/>
        <v>0</v>
      </c>
    </row>
    <row r="81" spans="1:25" x14ac:dyDescent="0.3">
      <c r="A81" t="s">
        <v>265</v>
      </c>
      <c r="C81" s="9">
        <f t="shared" si="4"/>
        <v>0.15</v>
      </c>
      <c r="D81">
        <f t="shared" si="5"/>
        <v>32050075</v>
      </c>
      <c r="E81" s="14">
        <f t="shared" si="6"/>
        <v>1.0296521894762566E-3</v>
      </c>
      <c r="F81">
        <f t="shared" ref="F81:Y81" si="37">IFERROR(F34*F$2, 0)</f>
        <v>0</v>
      </c>
      <c r="G81">
        <f t="shared" si="37"/>
        <v>0</v>
      </c>
      <c r="H81">
        <f t="shared" si="37"/>
        <v>0</v>
      </c>
      <c r="I81">
        <f t="shared" si="37"/>
        <v>0</v>
      </c>
      <c r="J81">
        <f t="shared" si="37"/>
        <v>0</v>
      </c>
      <c r="K81">
        <f t="shared" si="37"/>
        <v>83602.999999999985</v>
      </c>
      <c r="L81">
        <f t="shared" si="37"/>
        <v>0</v>
      </c>
      <c r="M81">
        <f t="shared" si="37"/>
        <v>0</v>
      </c>
      <c r="N81">
        <f t="shared" si="37"/>
        <v>25332.000000000004</v>
      </c>
      <c r="O81">
        <f t="shared" si="37"/>
        <v>0</v>
      </c>
      <c r="P81">
        <f t="shared" si="37"/>
        <v>0</v>
      </c>
      <c r="Q81">
        <f t="shared" si="37"/>
        <v>0</v>
      </c>
      <c r="R81">
        <f t="shared" si="37"/>
        <v>0</v>
      </c>
      <c r="S81">
        <f t="shared" si="37"/>
        <v>0</v>
      </c>
      <c r="T81">
        <f t="shared" si="37"/>
        <v>0</v>
      </c>
      <c r="U81">
        <f t="shared" si="37"/>
        <v>0</v>
      </c>
      <c r="V81">
        <f t="shared" si="37"/>
        <v>0</v>
      </c>
      <c r="W81">
        <f t="shared" si="37"/>
        <v>155829</v>
      </c>
      <c r="X81">
        <f t="shared" si="37"/>
        <v>0</v>
      </c>
      <c r="Y81">
        <f t="shared" si="37"/>
        <v>0</v>
      </c>
    </row>
    <row r="82" spans="1:25" x14ac:dyDescent="0.3">
      <c r="A82" t="s">
        <v>266</v>
      </c>
      <c r="C82" s="9">
        <f t="shared" si="4"/>
        <v>0.15</v>
      </c>
      <c r="D82">
        <f t="shared" si="5"/>
        <v>38992140</v>
      </c>
      <c r="E82" s="14">
        <f t="shared" si="6"/>
        <v>4.2980446027420672E-3</v>
      </c>
      <c r="F82">
        <f t="shared" ref="F82:Y82" si="38">IFERROR(F35*F$2, 0)</f>
        <v>0</v>
      </c>
      <c r="G82">
        <f t="shared" si="38"/>
        <v>0</v>
      </c>
      <c r="H82">
        <f t="shared" si="38"/>
        <v>0</v>
      </c>
      <c r="I82">
        <f t="shared" si="38"/>
        <v>0</v>
      </c>
      <c r="J82">
        <f t="shared" si="38"/>
        <v>0</v>
      </c>
      <c r="K82">
        <f t="shared" si="38"/>
        <v>60086</v>
      </c>
      <c r="L82">
        <f t="shared" si="38"/>
        <v>0</v>
      </c>
      <c r="M82">
        <f t="shared" si="38"/>
        <v>846702</v>
      </c>
      <c r="N82">
        <f t="shared" si="38"/>
        <v>0</v>
      </c>
      <c r="O82">
        <f t="shared" si="38"/>
        <v>198408</v>
      </c>
      <c r="P82">
        <f t="shared" si="38"/>
        <v>0</v>
      </c>
      <c r="Q82">
        <f t="shared" si="38"/>
        <v>0</v>
      </c>
      <c r="R82">
        <f t="shared" si="38"/>
        <v>0</v>
      </c>
      <c r="S82">
        <f t="shared" si="38"/>
        <v>0</v>
      </c>
      <c r="T82">
        <f t="shared" si="38"/>
        <v>0</v>
      </c>
      <c r="U82">
        <f t="shared" si="38"/>
        <v>0</v>
      </c>
      <c r="V82">
        <f t="shared" si="38"/>
        <v>0</v>
      </c>
      <c r="W82">
        <f t="shared" si="38"/>
        <v>0</v>
      </c>
      <c r="X82">
        <f t="shared" si="38"/>
        <v>0</v>
      </c>
      <c r="Y82">
        <f t="shared" si="38"/>
        <v>0</v>
      </c>
    </row>
    <row r="83" spans="1:25" x14ac:dyDescent="0.3">
      <c r="A83" t="s">
        <v>267</v>
      </c>
      <c r="C83" s="9">
        <f t="shared" si="4"/>
        <v>0.1</v>
      </c>
      <c r="D83">
        <f t="shared" si="5"/>
        <v>21621075</v>
      </c>
      <c r="E83" s="14">
        <f t="shared" si="6"/>
        <v>1.3667302407787145E-4</v>
      </c>
      <c r="F83">
        <f t="shared" ref="F83:Y83" si="39">IFERROR(F36*F$2, 0)</f>
        <v>0</v>
      </c>
      <c r="G83">
        <f t="shared" si="39"/>
        <v>0</v>
      </c>
      <c r="H83">
        <f t="shared" si="39"/>
        <v>0</v>
      </c>
      <c r="I83">
        <f t="shared" si="39"/>
        <v>0</v>
      </c>
      <c r="J83">
        <f t="shared" si="39"/>
        <v>0</v>
      </c>
      <c r="K83">
        <f t="shared" si="39"/>
        <v>17572</v>
      </c>
      <c r="L83">
        <f t="shared" si="39"/>
        <v>0</v>
      </c>
      <c r="M83">
        <f t="shared" si="39"/>
        <v>0</v>
      </c>
      <c r="N83">
        <f t="shared" si="39"/>
        <v>0</v>
      </c>
      <c r="O83">
        <f t="shared" si="39"/>
        <v>0</v>
      </c>
      <c r="P83">
        <f t="shared" si="39"/>
        <v>0</v>
      </c>
      <c r="Q83">
        <f t="shared" si="39"/>
        <v>0</v>
      </c>
      <c r="R83">
        <f t="shared" si="39"/>
        <v>0</v>
      </c>
      <c r="S83">
        <f t="shared" si="39"/>
        <v>0</v>
      </c>
      <c r="T83">
        <f t="shared" si="39"/>
        <v>0</v>
      </c>
      <c r="U83">
        <f t="shared" si="39"/>
        <v>17572</v>
      </c>
      <c r="V83">
        <f t="shared" si="39"/>
        <v>0</v>
      </c>
      <c r="W83">
        <f t="shared" si="39"/>
        <v>0</v>
      </c>
      <c r="X83">
        <f t="shared" si="39"/>
        <v>0</v>
      </c>
      <c r="Y83">
        <f t="shared" si="39"/>
        <v>0</v>
      </c>
    </row>
    <row r="84" spans="1:25" x14ac:dyDescent="0.3">
      <c r="A84" t="s">
        <v>268</v>
      </c>
      <c r="C84" s="9">
        <f t="shared" si="4"/>
        <v>0.2</v>
      </c>
      <c r="D84">
        <f t="shared" si="5"/>
        <v>32564148</v>
      </c>
      <c r="E84" s="14">
        <f t="shared" si="6"/>
        <v>3.1286315681909606E-3</v>
      </c>
      <c r="F84">
        <f t="shared" ref="F84:Y84" si="40">IFERROR(F37*F$2, 0)</f>
        <v>0</v>
      </c>
      <c r="G84">
        <f t="shared" si="40"/>
        <v>0</v>
      </c>
      <c r="H84">
        <f t="shared" si="40"/>
        <v>0</v>
      </c>
      <c r="I84">
        <f t="shared" si="40"/>
        <v>0</v>
      </c>
      <c r="J84">
        <f t="shared" si="40"/>
        <v>0</v>
      </c>
      <c r="K84">
        <f t="shared" si="40"/>
        <v>0</v>
      </c>
      <c r="L84">
        <f t="shared" si="40"/>
        <v>0</v>
      </c>
      <c r="M84">
        <f t="shared" si="40"/>
        <v>709234</v>
      </c>
      <c r="N84">
        <f t="shared" si="40"/>
        <v>0</v>
      </c>
      <c r="O84">
        <f t="shared" si="40"/>
        <v>0</v>
      </c>
      <c r="P84">
        <f t="shared" si="40"/>
        <v>0</v>
      </c>
      <c r="Q84">
        <f t="shared" si="40"/>
        <v>0</v>
      </c>
      <c r="R84">
        <f t="shared" si="40"/>
        <v>0</v>
      </c>
      <c r="S84">
        <f t="shared" si="40"/>
        <v>0</v>
      </c>
      <c r="T84">
        <f t="shared" si="40"/>
        <v>31980</v>
      </c>
      <c r="U84">
        <f t="shared" si="40"/>
        <v>0</v>
      </c>
      <c r="V84">
        <f t="shared" si="40"/>
        <v>38</v>
      </c>
      <c r="W84">
        <f t="shared" si="40"/>
        <v>0</v>
      </c>
      <c r="X84">
        <f t="shared" si="40"/>
        <v>0</v>
      </c>
      <c r="Y84">
        <f t="shared" si="40"/>
        <v>63241.999999999993</v>
      </c>
    </row>
    <row r="85" spans="1:25" x14ac:dyDescent="0.3">
      <c r="A85" t="s">
        <v>269</v>
      </c>
      <c r="C85" s="9">
        <f t="shared" si="4"/>
        <v>0.05</v>
      </c>
      <c r="D85">
        <f t="shared" si="5"/>
        <v>7629666</v>
      </c>
      <c r="E85" s="14">
        <f t="shared" si="6"/>
        <v>6.8060397063135337E-5</v>
      </c>
      <c r="F85">
        <f t="shared" ref="F85:Y85" si="41">IFERROR(F38*F$2, 0)</f>
        <v>0</v>
      </c>
      <c r="G85">
        <f t="shared" si="41"/>
        <v>0</v>
      </c>
      <c r="H85">
        <f t="shared" si="41"/>
        <v>0</v>
      </c>
      <c r="I85">
        <f t="shared" si="41"/>
        <v>0</v>
      </c>
      <c r="J85">
        <f t="shared" si="41"/>
        <v>0</v>
      </c>
      <c r="K85">
        <f t="shared" si="41"/>
        <v>0</v>
      </c>
      <c r="L85">
        <f t="shared" si="41"/>
        <v>0</v>
      </c>
      <c r="M85">
        <f t="shared" si="41"/>
        <v>0</v>
      </c>
      <c r="N85">
        <f t="shared" si="41"/>
        <v>0</v>
      </c>
      <c r="O85">
        <f t="shared" si="41"/>
        <v>0</v>
      </c>
      <c r="P85">
        <f t="shared" si="41"/>
        <v>17501</v>
      </c>
      <c r="Q85">
        <f t="shared" si="41"/>
        <v>0</v>
      </c>
      <c r="R85">
        <f t="shared" si="41"/>
        <v>0</v>
      </c>
      <c r="S85">
        <f t="shared" si="41"/>
        <v>0</v>
      </c>
      <c r="T85">
        <f t="shared" si="41"/>
        <v>0</v>
      </c>
      <c r="U85">
        <f t="shared" si="41"/>
        <v>0</v>
      </c>
      <c r="V85">
        <f t="shared" si="41"/>
        <v>0</v>
      </c>
      <c r="W85">
        <f t="shared" si="41"/>
        <v>0</v>
      </c>
      <c r="X85">
        <f t="shared" si="41"/>
        <v>0</v>
      </c>
      <c r="Y85">
        <f t="shared" si="41"/>
        <v>0</v>
      </c>
    </row>
    <row r="86" spans="1:25" x14ac:dyDescent="0.3">
      <c r="A86" t="s">
        <v>270</v>
      </c>
      <c r="C86" s="9">
        <f t="shared" si="4"/>
        <v>0.1</v>
      </c>
      <c r="D86">
        <f t="shared" si="5"/>
        <v>19677186</v>
      </c>
      <c r="E86" s="14">
        <f t="shared" si="6"/>
        <v>5.7498027002940171E-5</v>
      </c>
      <c r="F86">
        <f t="shared" ref="F86:Y86" si="42">IFERROR(F39*F$2, 0)</f>
        <v>0</v>
      </c>
      <c r="G86">
        <f t="shared" si="42"/>
        <v>0</v>
      </c>
      <c r="H86">
        <f t="shared" si="42"/>
        <v>0</v>
      </c>
      <c r="I86">
        <f t="shared" si="42"/>
        <v>0</v>
      </c>
      <c r="J86">
        <f t="shared" si="42"/>
        <v>0</v>
      </c>
      <c r="K86">
        <f t="shared" si="42"/>
        <v>0</v>
      </c>
      <c r="L86">
        <f t="shared" si="42"/>
        <v>0</v>
      </c>
      <c r="M86">
        <f t="shared" si="42"/>
        <v>0</v>
      </c>
      <c r="N86">
        <f t="shared" si="42"/>
        <v>0</v>
      </c>
      <c r="O86">
        <f t="shared" si="42"/>
        <v>0</v>
      </c>
      <c r="P86">
        <f t="shared" si="42"/>
        <v>8129</v>
      </c>
      <c r="Q86">
        <f t="shared" si="42"/>
        <v>0</v>
      </c>
      <c r="R86">
        <f t="shared" si="42"/>
        <v>6656</v>
      </c>
      <c r="S86">
        <f t="shared" si="42"/>
        <v>0</v>
      </c>
      <c r="T86">
        <f t="shared" si="42"/>
        <v>0</v>
      </c>
      <c r="U86">
        <f t="shared" si="42"/>
        <v>0</v>
      </c>
      <c r="V86">
        <f t="shared" si="42"/>
        <v>0</v>
      </c>
      <c r="W86">
        <f t="shared" si="42"/>
        <v>0</v>
      </c>
      <c r="X86">
        <f t="shared" si="42"/>
        <v>0</v>
      </c>
      <c r="Y86">
        <f t="shared" si="42"/>
        <v>0</v>
      </c>
    </row>
    <row r="87" spans="1:25" x14ac:dyDescent="0.3">
      <c r="A87" t="s">
        <v>271</v>
      </c>
      <c r="C87" s="9">
        <f t="shared" si="4"/>
        <v>0.15</v>
      </c>
      <c r="D87">
        <f t="shared" si="5"/>
        <v>18182286</v>
      </c>
      <c r="E87" s="14">
        <f t="shared" si="6"/>
        <v>7.0315984189392032E-5</v>
      </c>
      <c r="F87">
        <f t="shared" ref="F87:Y87" si="43">IFERROR(F40*F$2, 0)</f>
        <v>0</v>
      </c>
      <c r="G87">
        <f t="shared" si="43"/>
        <v>0</v>
      </c>
      <c r="H87">
        <f t="shared" si="43"/>
        <v>0</v>
      </c>
      <c r="I87">
        <f t="shared" si="43"/>
        <v>0</v>
      </c>
      <c r="J87">
        <f t="shared" si="43"/>
        <v>0</v>
      </c>
      <c r="K87">
        <f t="shared" si="43"/>
        <v>0</v>
      </c>
      <c r="L87">
        <f t="shared" si="43"/>
        <v>0</v>
      </c>
      <c r="M87">
        <f t="shared" si="43"/>
        <v>0</v>
      </c>
      <c r="N87">
        <f t="shared" si="43"/>
        <v>0</v>
      </c>
      <c r="O87">
        <f t="shared" si="43"/>
        <v>0</v>
      </c>
      <c r="P87">
        <f t="shared" si="43"/>
        <v>2583</v>
      </c>
      <c r="Q87">
        <f t="shared" si="43"/>
        <v>0</v>
      </c>
      <c r="R87">
        <f t="shared" si="43"/>
        <v>0</v>
      </c>
      <c r="S87">
        <f t="shared" si="43"/>
        <v>0</v>
      </c>
      <c r="T87">
        <f t="shared" si="43"/>
        <v>0</v>
      </c>
      <c r="U87">
        <f t="shared" si="43"/>
        <v>0</v>
      </c>
      <c r="V87">
        <f t="shared" si="43"/>
        <v>9702</v>
      </c>
      <c r="W87">
        <f t="shared" si="43"/>
        <v>0</v>
      </c>
      <c r="X87">
        <f t="shared" si="43"/>
        <v>0</v>
      </c>
      <c r="Y87">
        <f t="shared" si="43"/>
        <v>5796</v>
      </c>
    </row>
    <row r="88" spans="1:25" x14ac:dyDescent="0.3">
      <c r="A88" t="s">
        <v>272</v>
      </c>
      <c r="C88" s="9">
        <f t="shared" si="4"/>
        <v>0.1</v>
      </c>
      <c r="D88">
        <f t="shared" si="5"/>
        <v>20121124</v>
      </c>
      <c r="E88" s="14">
        <f t="shared" si="6"/>
        <v>1.9136362289728626E-3</v>
      </c>
      <c r="F88">
        <f t="shared" ref="F88:Y88" si="44">IFERROR(F41*F$2, 0)</f>
        <v>0</v>
      </c>
      <c r="G88">
        <f t="shared" si="44"/>
        <v>0</v>
      </c>
      <c r="H88">
        <f t="shared" si="44"/>
        <v>0</v>
      </c>
      <c r="I88">
        <f t="shared" si="44"/>
        <v>0</v>
      </c>
      <c r="J88">
        <f t="shared" si="44"/>
        <v>0</v>
      </c>
      <c r="K88">
        <f t="shared" si="44"/>
        <v>0</v>
      </c>
      <c r="L88">
        <f t="shared" si="44"/>
        <v>0</v>
      </c>
      <c r="M88">
        <f t="shared" si="44"/>
        <v>0</v>
      </c>
      <c r="N88">
        <f t="shared" si="44"/>
        <v>0</v>
      </c>
      <c r="O88">
        <f t="shared" si="44"/>
        <v>0</v>
      </c>
      <c r="P88">
        <f t="shared" si="44"/>
        <v>0</v>
      </c>
      <c r="Q88">
        <f t="shared" si="44"/>
        <v>291301</v>
      </c>
      <c r="R88">
        <f t="shared" si="44"/>
        <v>200770</v>
      </c>
      <c r="S88">
        <f t="shared" si="44"/>
        <v>0</v>
      </c>
      <c r="T88">
        <f t="shared" si="44"/>
        <v>0</v>
      </c>
      <c r="U88">
        <f t="shared" si="44"/>
        <v>0</v>
      </c>
      <c r="V88">
        <f t="shared" si="44"/>
        <v>0</v>
      </c>
      <c r="W88">
        <f t="shared" si="44"/>
        <v>0</v>
      </c>
      <c r="X88">
        <f t="shared" si="44"/>
        <v>0</v>
      </c>
      <c r="Y88">
        <f t="shared" si="44"/>
        <v>0</v>
      </c>
    </row>
    <row r="89" spans="1:25" x14ac:dyDescent="0.3">
      <c r="A89" t="s">
        <v>273</v>
      </c>
      <c r="C89" s="9">
        <f t="shared" si="4"/>
        <v>0.05</v>
      </c>
      <c r="D89">
        <f t="shared" si="5"/>
        <v>10066672</v>
      </c>
      <c r="E89" s="14">
        <f t="shared" si="6"/>
        <v>2.2358701836185588E-3</v>
      </c>
      <c r="F89">
        <f t="shared" ref="F89:Y89" si="45">IFERROR(F42*F$2, 0)</f>
        <v>0</v>
      </c>
      <c r="G89">
        <f t="shared" si="45"/>
        <v>0</v>
      </c>
      <c r="H89">
        <f t="shared" si="45"/>
        <v>0</v>
      </c>
      <c r="I89">
        <f t="shared" si="45"/>
        <v>0</v>
      </c>
      <c r="J89">
        <f t="shared" si="45"/>
        <v>0</v>
      </c>
      <c r="K89">
        <f t="shared" si="45"/>
        <v>0</v>
      </c>
      <c r="L89">
        <f t="shared" si="45"/>
        <v>0</v>
      </c>
      <c r="M89">
        <f t="shared" si="45"/>
        <v>0</v>
      </c>
      <c r="N89">
        <f t="shared" si="45"/>
        <v>0</v>
      </c>
      <c r="O89">
        <f t="shared" si="45"/>
        <v>0</v>
      </c>
      <c r="P89">
        <f t="shared" si="45"/>
        <v>0</v>
      </c>
      <c r="Q89">
        <f t="shared" si="45"/>
        <v>0</v>
      </c>
      <c r="R89">
        <f t="shared" si="45"/>
        <v>0</v>
      </c>
      <c r="S89">
        <f t="shared" si="45"/>
        <v>574930</v>
      </c>
      <c r="T89">
        <f t="shared" si="45"/>
        <v>0</v>
      </c>
      <c r="U89">
        <f t="shared" si="45"/>
        <v>0</v>
      </c>
      <c r="V89">
        <f t="shared" si="45"/>
        <v>0</v>
      </c>
      <c r="W89">
        <f t="shared" si="45"/>
        <v>0</v>
      </c>
      <c r="X89">
        <f t="shared" si="45"/>
        <v>0</v>
      </c>
      <c r="Y89">
        <f t="shared" si="45"/>
        <v>0</v>
      </c>
    </row>
    <row r="90" spans="1:25" x14ac:dyDescent="0.3">
      <c r="A90" t="s">
        <v>274</v>
      </c>
      <c r="C90" s="9">
        <f t="shared" si="4"/>
        <v>0</v>
      </c>
      <c r="D90">
        <f t="shared" si="5"/>
        <v>0</v>
      </c>
      <c r="E90" s="14">
        <f t="shared" si="6"/>
        <v>0</v>
      </c>
      <c r="F90">
        <f t="shared" ref="F90:Y90" si="46">IFERROR(F43*F$2, 0)</f>
        <v>0</v>
      </c>
      <c r="G90">
        <f t="shared" si="46"/>
        <v>0</v>
      </c>
      <c r="H90">
        <f t="shared" si="46"/>
        <v>0</v>
      </c>
      <c r="I90">
        <f t="shared" si="46"/>
        <v>0</v>
      </c>
      <c r="J90">
        <f t="shared" si="46"/>
        <v>0</v>
      </c>
      <c r="K90">
        <f t="shared" si="46"/>
        <v>0</v>
      </c>
      <c r="L90">
        <f t="shared" si="46"/>
        <v>0</v>
      </c>
      <c r="M90">
        <f t="shared" si="46"/>
        <v>0</v>
      </c>
      <c r="N90">
        <f t="shared" si="46"/>
        <v>0</v>
      </c>
      <c r="O90">
        <f t="shared" si="46"/>
        <v>0</v>
      </c>
      <c r="P90">
        <f t="shared" si="46"/>
        <v>0</v>
      </c>
      <c r="Q90">
        <f t="shared" si="46"/>
        <v>0</v>
      </c>
      <c r="R90">
        <f t="shared" si="46"/>
        <v>0</v>
      </c>
      <c r="S90">
        <f t="shared" si="46"/>
        <v>0</v>
      </c>
      <c r="T90">
        <f t="shared" si="46"/>
        <v>0</v>
      </c>
      <c r="U90">
        <f t="shared" si="46"/>
        <v>0</v>
      </c>
      <c r="V90">
        <f t="shared" si="46"/>
        <v>0</v>
      </c>
      <c r="W90">
        <f t="shared" si="46"/>
        <v>0</v>
      </c>
      <c r="X90">
        <f t="shared" si="46"/>
        <v>0</v>
      </c>
      <c r="Y90">
        <f t="shared" si="46"/>
        <v>0</v>
      </c>
    </row>
    <row r="91" spans="1:25" x14ac:dyDescent="0.3">
      <c r="A91" t="s">
        <v>275</v>
      </c>
      <c r="C91" s="9">
        <f t="shared" si="4"/>
        <v>0.05</v>
      </c>
      <c r="D91">
        <f t="shared" si="5"/>
        <v>9134928</v>
      </c>
      <c r="E91" s="14">
        <f t="shared" si="6"/>
        <v>2.5166130019710955E-4</v>
      </c>
      <c r="F91">
        <f t="shared" ref="F91:Y91" si="47">IFERROR(F44*F$2, 0)</f>
        <v>0</v>
      </c>
      <c r="G91">
        <f t="shared" si="47"/>
        <v>0</v>
      </c>
      <c r="H91">
        <f t="shared" si="47"/>
        <v>0</v>
      </c>
      <c r="I91">
        <f t="shared" si="47"/>
        <v>0</v>
      </c>
      <c r="J91">
        <f t="shared" si="47"/>
        <v>0</v>
      </c>
      <c r="K91">
        <f t="shared" si="47"/>
        <v>0</v>
      </c>
      <c r="L91">
        <f t="shared" si="47"/>
        <v>0</v>
      </c>
      <c r="M91">
        <f t="shared" si="47"/>
        <v>0</v>
      </c>
      <c r="N91">
        <f t="shared" si="47"/>
        <v>0</v>
      </c>
      <c r="O91">
        <f t="shared" si="47"/>
        <v>0</v>
      </c>
      <c r="P91">
        <f t="shared" si="47"/>
        <v>0</v>
      </c>
      <c r="Q91">
        <f t="shared" si="47"/>
        <v>0</v>
      </c>
      <c r="R91">
        <f t="shared" si="47"/>
        <v>0</v>
      </c>
      <c r="S91">
        <f t="shared" si="47"/>
        <v>0</v>
      </c>
      <c r="T91">
        <f t="shared" si="47"/>
        <v>64712</v>
      </c>
      <c r="U91">
        <f t="shared" si="47"/>
        <v>0</v>
      </c>
      <c r="V91">
        <f t="shared" si="47"/>
        <v>0</v>
      </c>
      <c r="W91">
        <f t="shared" si="47"/>
        <v>0</v>
      </c>
      <c r="X91">
        <f t="shared" si="47"/>
        <v>0</v>
      </c>
      <c r="Y91">
        <f t="shared" si="47"/>
        <v>0</v>
      </c>
    </row>
    <row r="92" spans="1:25" x14ac:dyDescent="0.3">
      <c r="A92" t="s">
        <v>276</v>
      </c>
      <c r="C92" s="9">
        <f t="shared" si="4"/>
        <v>0</v>
      </c>
      <c r="D92">
        <f t="shared" si="5"/>
        <v>0</v>
      </c>
      <c r="E92" s="14">
        <f t="shared" si="6"/>
        <v>0</v>
      </c>
      <c r="F92">
        <f t="shared" ref="F92:Y92" si="48">IFERROR(F45*F$2, 0)</f>
        <v>0</v>
      </c>
      <c r="G92">
        <f t="shared" si="48"/>
        <v>0</v>
      </c>
      <c r="H92">
        <f t="shared" si="48"/>
        <v>0</v>
      </c>
      <c r="I92">
        <f t="shared" si="48"/>
        <v>0</v>
      </c>
      <c r="J92">
        <f t="shared" si="48"/>
        <v>0</v>
      </c>
      <c r="K92">
        <f t="shared" si="48"/>
        <v>0</v>
      </c>
      <c r="L92">
        <f t="shared" si="48"/>
        <v>0</v>
      </c>
      <c r="M92">
        <f t="shared" si="48"/>
        <v>0</v>
      </c>
      <c r="N92">
        <f t="shared" si="48"/>
        <v>0</v>
      </c>
      <c r="O92">
        <f t="shared" si="48"/>
        <v>0</v>
      </c>
      <c r="P92">
        <f t="shared" si="48"/>
        <v>0</v>
      </c>
      <c r="Q92">
        <f t="shared" si="48"/>
        <v>0</v>
      </c>
      <c r="R92">
        <f t="shared" si="48"/>
        <v>0</v>
      </c>
      <c r="S92">
        <f t="shared" si="48"/>
        <v>0</v>
      </c>
      <c r="T92">
        <f t="shared" si="48"/>
        <v>0</v>
      </c>
      <c r="U92">
        <f t="shared" si="48"/>
        <v>0</v>
      </c>
      <c r="V92">
        <f t="shared" si="48"/>
        <v>0</v>
      </c>
      <c r="W92">
        <f t="shared" si="48"/>
        <v>0</v>
      </c>
      <c r="X92">
        <f t="shared" si="48"/>
        <v>0</v>
      </c>
      <c r="Y92">
        <f t="shared" si="48"/>
        <v>0</v>
      </c>
    </row>
    <row r="93" spans="1:25" x14ac:dyDescent="0.3">
      <c r="A93" t="s">
        <v>277</v>
      </c>
      <c r="C93" s="9">
        <f t="shared" si="4"/>
        <v>0</v>
      </c>
      <c r="D93">
        <f t="shared" si="5"/>
        <v>0</v>
      </c>
      <c r="E93" s="14">
        <f t="shared" si="6"/>
        <v>0</v>
      </c>
      <c r="F93">
        <f t="shared" ref="F93:Y93" si="49">IFERROR(F46*F$2, 0)</f>
        <v>0</v>
      </c>
      <c r="G93">
        <f t="shared" si="49"/>
        <v>0</v>
      </c>
      <c r="H93">
        <f t="shared" si="49"/>
        <v>0</v>
      </c>
      <c r="I93">
        <f t="shared" si="49"/>
        <v>0</v>
      </c>
      <c r="J93">
        <f t="shared" si="49"/>
        <v>0</v>
      </c>
      <c r="K93">
        <f t="shared" si="49"/>
        <v>0</v>
      </c>
      <c r="L93">
        <f t="shared" si="49"/>
        <v>0</v>
      </c>
      <c r="M93">
        <f t="shared" si="49"/>
        <v>0</v>
      </c>
      <c r="N93">
        <f t="shared" si="49"/>
        <v>0</v>
      </c>
      <c r="O93">
        <f t="shared" si="49"/>
        <v>0</v>
      </c>
      <c r="P93">
        <f t="shared" si="49"/>
        <v>0</v>
      </c>
      <c r="Q93">
        <f t="shared" si="49"/>
        <v>0</v>
      </c>
      <c r="R93">
        <f t="shared" si="49"/>
        <v>0</v>
      </c>
      <c r="S93">
        <f t="shared" si="49"/>
        <v>0</v>
      </c>
      <c r="T93">
        <f t="shared" si="49"/>
        <v>0</v>
      </c>
      <c r="U93">
        <f t="shared" si="49"/>
        <v>0</v>
      </c>
      <c r="V93">
        <f t="shared" si="49"/>
        <v>0</v>
      </c>
      <c r="W93">
        <f t="shared" si="49"/>
        <v>0</v>
      </c>
      <c r="X93">
        <f t="shared" si="49"/>
        <v>0</v>
      </c>
      <c r="Y93">
        <f t="shared" si="49"/>
        <v>0</v>
      </c>
    </row>
    <row r="94" spans="1:25" x14ac:dyDescent="0.3">
      <c r="A94" t="s">
        <v>271</v>
      </c>
      <c r="C94" s="9">
        <f t="shared" si="4"/>
        <v>0.15</v>
      </c>
      <c r="D94">
        <f t="shared" si="5"/>
        <v>18182286</v>
      </c>
      <c r="E94" s="14">
        <f t="shared" si="6"/>
        <v>7.0315984189392032E-5</v>
      </c>
      <c r="F94">
        <f t="shared" ref="F94:Y94" si="50">IFERROR(F47*F$2, 0)</f>
        <v>0</v>
      </c>
      <c r="G94">
        <f t="shared" si="50"/>
        <v>0</v>
      </c>
      <c r="H94">
        <f t="shared" si="50"/>
        <v>0</v>
      </c>
      <c r="I94">
        <f t="shared" si="50"/>
        <v>0</v>
      </c>
      <c r="J94">
        <f t="shared" si="50"/>
        <v>0</v>
      </c>
      <c r="K94">
        <f t="shared" si="50"/>
        <v>0</v>
      </c>
      <c r="L94">
        <f t="shared" si="50"/>
        <v>0</v>
      </c>
      <c r="M94">
        <f t="shared" si="50"/>
        <v>0</v>
      </c>
      <c r="N94">
        <f t="shared" si="50"/>
        <v>0</v>
      </c>
      <c r="O94">
        <f t="shared" si="50"/>
        <v>0</v>
      </c>
      <c r="P94">
        <f t="shared" si="50"/>
        <v>2583</v>
      </c>
      <c r="Q94">
        <f t="shared" si="50"/>
        <v>0</v>
      </c>
      <c r="R94">
        <f t="shared" si="50"/>
        <v>0</v>
      </c>
      <c r="S94">
        <f t="shared" si="50"/>
        <v>0</v>
      </c>
      <c r="T94">
        <f t="shared" si="50"/>
        <v>0</v>
      </c>
      <c r="U94">
        <f t="shared" si="50"/>
        <v>0</v>
      </c>
      <c r="V94">
        <f t="shared" si="50"/>
        <v>9702</v>
      </c>
      <c r="W94">
        <f t="shared" si="50"/>
        <v>0</v>
      </c>
      <c r="X94">
        <f t="shared" si="50"/>
        <v>0</v>
      </c>
      <c r="Y94">
        <f t="shared" si="50"/>
        <v>5796</v>
      </c>
    </row>
  </sheetData>
  <sortState xmlns:xlrd2="http://schemas.microsoft.com/office/spreadsheetml/2017/richdata2" ref="AG3:AI37">
    <sortCondition descending="1" ref="AI3:AI37"/>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628D-75C3-4C37-80D8-893E77B3B42E}">
  <sheetPr codeName="Sheet2">
    <tabColor theme="3"/>
  </sheetPr>
  <dimension ref="A1:BW208"/>
  <sheetViews>
    <sheetView topLeftCell="T57" zoomScaleNormal="100" workbookViewId="0">
      <selection activeCell="AI78" sqref="AI78"/>
    </sheetView>
  </sheetViews>
  <sheetFormatPr defaultRowHeight="14.4" x14ac:dyDescent="0.3"/>
  <cols>
    <col min="1" max="1" width="20.88671875" style="3" customWidth="1"/>
    <col min="2" max="20" width="9.88671875" bestFit="1" customWidth="1"/>
    <col min="21" max="21" width="10.33203125" customWidth="1"/>
    <col min="22" max="22" width="9.88671875" bestFit="1" customWidth="1"/>
    <col min="23" max="23" width="74.109375" customWidth="1"/>
    <col min="24" max="24" width="8.88671875" style="6"/>
    <col min="25" max="25" width="10.5546875" customWidth="1"/>
    <col min="26" max="26" width="13.5546875" bestFit="1" customWidth="1"/>
    <col min="27" max="27" width="10" bestFit="1" customWidth="1"/>
    <col min="28" max="28" width="12" bestFit="1" customWidth="1"/>
    <col min="53" max="53" width="7.88671875" customWidth="1"/>
    <col min="54" max="54" width="17.88671875" customWidth="1"/>
  </cols>
  <sheetData>
    <row r="1" spans="1:75" ht="18.600000000000001" thickBot="1" x14ac:dyDescent="0.35">
      <c r="A1" s="541" t="s">
        <v>974</v>
      </c>
      <c r="B1" s="541"/>
      <c r="C1" s="541"/>
      <c r="D1" s="541"/>
      <c r="E1" s="541"/>
      <c r="F1" s="541"/>
      <c r="G1" s="541"/>
      <c r="H1" s="541"/>
      <c r="I1" s="541"/>
      <c r="J1" s="541"/>
      <c r="K1" s="541"/>
      <c r="L1" s="541"/>
      <c r="M1" s="541"/>
      <c r="N1" s="541"/>
      <c r="O1" s="541"/>
      <c r="P1" s="541"/>
      <c r="Q1" s="541"/>
      <c r="R1" s="541"/>
      <c r="S1" s="541"/>
      <c r="T1" s="541"/>
      <c r="U1" s="541"/>
      <c r="V1" s="541"/>
      <c r="W1" s="250"/>
      <c r="Z1" s="541" t="s">
        <v>914</v>
      </c>
      <c r="AA1" s="541"/>
      <c r="AB1" s="541"/>
      <c r="AC1" s="541"/>
      <c r="AD1" s="541"/>
      <c r="AE1" s="541"/>
      <c r="AF1" s="541"/>
      <c r="AG1" s="541"/>
      <c r="AH1" s="541"/>
      <c r="AI1" s="541"/>
      <c r="AJ1" s="541"/>
      <c r="AK1" s="541"/>
      <c r="AL1" s="541"/>
      <c r="AM1" s="541"/>
      <c r="AN1" s="541"/>
      <c r="AO1" s="541"/>
      <c r="AP1" s="541"/>
      <c r="AQ1" s="541"/>
      <c r="AR1" s="541"/>
      <c r="AS1" s="541"/>
      <c r="AT1" s="541"/>
      <c r="AU1" s="541"/>
      <c r="BB1" s="241"/>
      <c r="BC1" s="241">
        <v>0</v>
      </c>
      <c r="BD1" s="241">
        <v>1</v>
      </c>
      <c r="BE1" s="241">
        <v>2</v>
      </c>
      <c r="BF1" s="241">
        <v>3</v>
      </c>
      <c r="BG1" s="241">
        <v>4</v>
      </c>
      <c r="BH1" s="241">
        <v>5</v>
      </c>
      <c r="BI1" s="241">
        <v>6</v>
      </c>
      <c r="BJ1" s="241">
        <v>7</v>
      </c>
      <c r="BK1" s="241">
        <v>8</v>
      </c>
      <c r="BL1" s="241">
        <v>9</v>
      </c>
      <c r="BM1" s="241">
        <v>10</v>
      </c>
      <c r="BN1" s="241">
        <v>11</v>
      </c>
      <c r="BO1" s="241">
        <v>12</v>
      </c>
      <c r="BP1" s="241">
        <v>13</v>
      </c>
      <c r="BQ1" s="241">
        <v>14</v>
      </c>
      <c r="BR1" s="241">
        <v>15</v>
      </c>
      <c r="BS1" s="241">
        <v>16</v>
      </c>
      <c r="BT1" s="241">
        <v>17</v>
      </c>
      <c r="BU1" s="241">
        <v>18</v>
      </c>
      <c r="BV1" s="241">
        <v>19</v>
      </c>
      <c r="BW1" s="241">
        <v>20</v>
      </c>
    </row>
    <row r="2" spans="1:75" s="3" customFormat="1" x14ac:dyDescent="0.3">
      <c r="A2" s="245"/>
      <c r="B2" s="242">
        <v>2020</v>
      </c>
      <c r="C2" s="242">
        <v>2021</v>
      </c>
      <c r="D2" s="242">
        <v>2022</v>
      </c>
      <c r="E2" s="242">
        <v>2023</v>
      </c>
      <c r="F2" s="242">
        <v>2024</v>
      </c>
      <c r="G2" s="242">
        <v>2025</v>
      </c>
      <c r="H2" s="242">
        <v>2026</v>
      </c>
      <c r="I2" s="242">
        <v>2027</v>
      </c>
      <c r="J2" s="242">
        <v>2028</v>
      </c>
      <c r="K2" s="242">
        <v>2029</v>
      </c>
      <c r="L2" s="242">
        <v>2030</v>
      </c>
      <c r="M2" s="242">
        <v>2031</v>
      </c>
      <c r="N2" s="242">
        <v>2032</v>
      </c>
      <c r="O2" s="242">
        <v>2033</v>
      </c>
      <c r="P2" s="242">
        <v>2034</v>
      </c>
      <c r="Q2" s="242">
        <v>2035</v>
      </c>
      <c r="R2" s="242">
        <v>2036</v>
      </c>
      <c r="S2" s="242">
        <v>2037</v>
      </c>
      <c r="T2" s="242">
        <v>2038</v>
      </c>
      <c r="U2" s="242">
        <v>2039</v>
      </c>
      <c r="V2" s="242">
        <v>2040</v>
      </c>
      <c r="X2" s="5"/>
      <c r="Y2" s="537"/>
      <c r="Z2" s="7"/>
      <c r="AA2" s="7">
        <v>2020</v>
      </c>
      <c r="AB2" s="7">
        <v>2021</v>
      </c>
      <c r="AC2" s="7">
        <v>2022</v>
      </c>
      <c r="AD2" s="7">
        <v>2023</v>
      </c>
      <c r="AE2" s="7">
        <v>2024</v>
      </c>
      <c r="AF2" s="7">
        <v>2025</v>
      </c>
      <c r="AG2" s="7">
        <v>2026</v>
      </c>
      <c r="AH2" s="7">
        <v>2027</v>
      </c>
      <c r="AI2" s="7">
        <v>2028</v>
      </c>
      <c r="AJ2" s="7">
        <v>2029</v>
      </c>
      <c r="AK2" s="7">
        <v>2030</v>
      </c>
      <c r="AL2" s="7">
        <v>2031</v>
      </c>
      <c r="AM2" s="7">
        <v>2032</v>
      </c>
      <c r="AN2" s="7">
        <v>2033</v>
      </c>
      <c r="AO2" s="7">
        <v>2034</v>
      </c>
      <c r="AP2" s="7">
        <v>2035</v>
      </c>
      <c r="AQ2" s="7">
        <v>2036</v>
      </c>
      <c r="AR2" s="7">
        <v>2037</v>
      </c>
      <c r="AS2" s="7">
        <v>2038</v>
      </c>
      <c r="AT2" s="7">
        <v>2039</v>
      </c>
      <c r="AU2" s="7">
        <v>2040</v>
      </c>
      <c r="AV2" s="22" t="s">
        <v>86</v>
      </c>
      <c r="BB2" s="241"/>
      <c r="BC2" s="241">
        <v>2020</v>
      </c>
      <c r="BD2" s="241">
        <v>2021</v>
      </c>
      <c r="BE2" s="241">
        <v>2022</v>
      </c>
      <c r="BF2" s="241">
        <v>2023</v>
      </c>
      <c r="BG2" s="241">
        <v>2024</v>
      </c>
      <c r="BH2" s="241">
        <v>2025</v>
      </c>
      <c r="BI2" s="241">
        <v>2026</v>
      </c>
      <c r="BJ2" s="241">
        <v>2027</v>
      </c>
      <c r="BK2" s="241">
        <v>2028</v>
      </c>
      <c r="BL2" s="241">
        <v>2029</v>
      </c>
      <c r="BM2" s="241">
        <v>2030</v>
      </c>
      <c r="BN2" s="241">
        <v>2031</v>
      </c>
      <c r="BO2" s="241">
        <v>2032</v>
      </c>
      <c r="BP2" s="241">
        <v>2033</v>
      </c>
      <c r="BQ2" s="241">
        <v>2034</v>
      </c>
      <c r="BR2" s="241">
        <v>2035</v>
      </c>
      <c r="BS2" s="241">
        <v>2036</v>
      </c>
      <c r="BT2" s="241">
        <v>2037</v>
      </c>
      <c r="BU2" s="241">
        <v>2038</v>
      </c>
      <c r="BV2" s="241">
        <v>2039</v>
      </c>
      <c r="BW2" s="241">
        <v>2040</v>
      </c>
    </row>
    <row r="3" spans="1:75" x14ac:dyDescent="0.3">
      <c r="A3" s="245" t="s">
        <v>17</v>
      </c>
      <c r="B3" s="251">
        <f>IF(Dashboard!$C$10="Medium Demand", 'Consumption Forecasts'!B28, IF(Dashboard!$C$10="High Demand", 'Consumption Forecasts'!B19, IF(Dashboard!$C$10="Low Demand", 'Consumption Forecasts'!B37,0)))</f>
        <v>6548.8704746003232</v>
      </c>
      <c r="C3" s="251">
        <f>IF(Dashboard!$C$10="Medium Demand", 'Consumption Forecasts'!C28, IF(Dashboard!$C$10="High Demand", 'Consumption Forecasts'!C19, IF(Dashboard!$C$10="Low Demand", 'Consumption Forecasts'!C37,0)))</f>
        <v>6543.0670838536125</v>
      </c>
      <c r="D3" s="251">
        <f>IF(Dashboard!$C$10="Medium Demand", 'Consumption Forecasts'!D28, IF(Dashboard!$C$10="High Demand", 'Consumption Forecasts'!D19, IF(Dashboard!$C$10="Low Demand", 'Consumption Forecasts'!D37,0)))</f>
        <v>6533.4821559001857</v>
      </c>
      <c r="E3" s="251">
        <f>IF(Dashboard!$C$10="Medium Demand", 'Consumption Forecasts'!E28, IF(Dashboard!$C$10="High Demand", 'Consumption Forecasts'!E19, IF(Dashboard!$C$10="Low Demand", 'Consumption Forecasts'!E37,0)))</f>
        <v>6532.1742597750181</v>
      </c>
      <c r="F3" s="251">
        <f>IF(Dashboard!$C$10="Medium Demand", 'Consumption Forecasts'!F28, IF(Dashboard!$C$10="High Demand", 'Consumption Forecasts'!F19, IF(Dashboard!$C$10="Low Demand", 'Consumption Forecasts'!F37,0)))</f>
        <v>6530.1185113464207</v>
      </c>
      <c r="G3" s="251">
        <f>IF(Dashboard!$C$10="Medium Demand", 'Consumption Forecasts'!G28, IF(Dashboard!$C$10="High Demand", 'Consumption Forecasts'!G19, IF(Dashboard!$C$10="Low Demand", 'Consumption Forecasts'!G37,0)))</f>
        <v>6523.9394330959913</v>
      </c>
      <c r="H3" s="251">
        <f>IF(Dashboard!$C$10="Medium Demand", 'Consumption Forecasts'!H28, IF(Dashboard!$C$10="High Demand", 'Consumption Forecasts'!H19, IF(Dashboard!$C$10="Low Demand", 'Consumption Forecasts'!H37,0)))</f>
        <v>6507.6707612834625</v>
      </c>
      <c r="I3" s="251">
        <f>IF(Dashboard!$C$10="Medium Demand", 'Consumption Forecasts'!I28, IF(Dashboard!$C$10="High Demand", 'Consumption Forecasts'!I19, IF(Dashboard!$C$10="Low Demand", 'Consumption Forecasts'!I37,0)))</f>
        <v>6484.2397527818048</v>
      </c>
      <c r="J3" s="251">
        <f>IF(Dashboard!$C$10="Medium Demand", 'Consumption Forecasts'!J28, IF(Dashboard!$C$10="High Demand", 'Consumption Forecasts'!J19, IF(Dashboard!$C$10="Low Demand", 'Consumption Forecasts'!J37,0)))</f>
        <v>6443.6232199046653</v>
      </c>
      <c r="K3" s="251">
        <f>IF(Dashboard!$C$10="Medium Demand", 'Consumption Forecasts'!K28, IF(Dashboard!$C$10="High Demand", 'Consumption Forecasts'!K19, IF(Dashboard!$C$10="Low Demand", 'Consumption Forecasts'!K37,0)))</f>
        <v>6394.8677960285831</v>
      </c>
      <c r="L3" s="251">
        <f>IF(Dashboard!$C$10="Medium Demand", 'Consumption Forecasts'!L28, IF(Dashboard!$C$10="High Demand", 'Consumption Forecasts'!L19, IF(Dashboard!$C$10="Low Demand", 'Consumption Forecasts'!L37,0)))</f>
        <v>6312.1525191343326</v>
      </c>
      <c r="M3" s="251">
        <f>IF(Dashboard!$C$10="Medium Demand", 'Consumption Forecasts'!M28, IF(Dashboard!$C$10="High Demand", 'Consumption Forecasts'!M19, IF(Dashboard!$C$10="Low Demand", 'Consumption Forecasts'!M37,0)))</f>
        <v>6240.8247212236038</v>
      </c>
      <c r="N3" s="251">
        <f>IF(Dashboard!$C$10="Medium Demand", 'Consumption Forecasts'!N28, IF(Dashboard!$C$10="High Demand", 'Consumption Forecasts'!N19, IF(Dashboard!$C$10="Low Demand", 'Consumption Forecasts'!N37,0)))</f>
        <v>6176.5115737203123</v>
      </c>
      <c r="O3" s="251">
        <f>IF(Dashboard!$C$10="Medium Demand", 'Consumption Forecasts'!O28, IF(Dashboard!$C$10="High Demand", 'Consumption Forecasts'!O19, IF(Dashboard!$C$10="Low Demand", 'Consumption Forecasts'!O37,0)))</f>
        <v>6114.9914870297844</v>
      </c>
      <c r="P3" s="251">
        <f>IF(Dashboard!$C$10="Medium Demand", 'Consumption Forecasts'!P28, IF(Dashboard!$C$10="High Demand", 'Consumption Forecasts'!P19, IF(Dashboard!$C$10="Low Demand", 'Consumption Forecasts'!P37,0)))</f>
        <v>6057.360769846332</v>
      </c>
      <c r="Q3" s="251">
        <f>IF(Dashboard!$C$10="Medium Demand", 'Consumption Forecasts'!Q28, IF(Dashboard!$C$10="High Demand", 'Consumption Forecasts'!Q19, IF(Dashboard!$C$10="Low Demand", 'Consumption Forecasts'!Q37,0)))</f>
        <v>6004.2615690520533</v>
      </c>
      <c r="R3" s="251">
        <f>IF(Dashboard!$C$10="Medium Demand", 'Consumption Forecasts'!R28, IF(Dashboard!$C$10="High Demand", 'Consumption Forecasts'!R19, IF(Dashboard!$C$10="Low Demand", 'Consumption Forecasts'!R37,0)))</f>
        <v>5955.5169509791294</v>
      </c>
      <c r="S3" s="251">
        <f>IF(Dashboard!$C$10="Medium Demand", 'Consumption Forecasts'!S28, IF(Dashboard!$C$10="High Demand", 'Consumption Forecasts'!S19, IF(Dashboard!$C$10="Low Demand", 'Consumption Forecasts'!S37,0)))</f>
        <v>5911.248954614638</v>
      </c>
      <c r="T3" s="251">
        <f>IF(Dashboard!$C$10="Medium Demand", 'Consumption Forecasts'!T28, IF(Dashboard!$C$10="High Demand", 'Consumption Forecasts'!T19, IF(Dashboard!$C$10="Low Demand", 'Consumption Forecasts'!T37,0)))</f>
        <v>5870.7648202702221</v>
      </c>
      <c r="U3" s="251">
        <f>IF(Dashboard!$C$10="Medium Demand", 'Consumption Forecasts'!U28, IF(Dashboard!$C$10="High Demand", 'Consumption Forecasts'!U19, IF(Dashboard!$C$10="Low Demand", 'Consumption Forecasts'!U37,0)))</f>
        <v>5834.9349060977875</v>
      </c>
      <c r="V3" s="251">
        <f>IF(Dashboard!$C$10="Medium Demand", 'Consumption Forecasts'!V28, IF(Dashboard!$C$10="High Demand", 'Consumption Forecasts'!V19, IF(Dashboard!$C$10="Low Demand", 'Consumption Forecasts'!V37,0)))</f>
        <v>5806.9448509235799</v>
      </c>
      <c r="Y3" s="538"/>
      <c r="Z3" s="3" t="s">
        <v>0</v>
      </c>
      <c r="AA3" s="2" cm="1">
        <f t="array" ref="AA3">_xlfn.IFS(Dashboard!$C$40="Straight-line",'Consumption Forecasts'!AA19, Dashboard!$C$40="S-curve", 'Consumption Forecasts'!AA19, Dashboard!$C$40= "Logarithmic", 'Consumption Forecasts'!AA19)</f>
        <v>6548.8704746003232</v>
      </c>
      <c r="AB3" s="2" cm="1">
        <f t="array" ref="AB3">_xlfn.IFS(Dashboard!$C$40="Straight-line",'Consumption Forecasts'!AB19,
Dashboard!$C$40="S-curve", $AA19+($AU19-$AA19)*BD$3,
Dashboard!$C$40= "Logarithmic", $AA19+($AU19-$AA19)*BD$7)</f>
        <v>5796.5306896582133</v>
      </c>
      <c r="AC3" s="2" cm="1">
        <f t="array" ref="AC3">_xlfn.IFS(Dashboard!$C$40="Straight-line",'Consumption Forecasts'!AC19,
Dashboard!$C$40="S-curve", $AA19+($AU19-$AA19)*BE$3,
Dashboard!$C$40= "Logarithmic", $AA19+($AU19-$AA19)*BE$7)</f>
        <v>5356.4401276664603</v>
      </c>
      <c r="AD3" s="2" cm="1">
        <f t="array" ref="AD3">_xlfn.IFS(Dashboard!$C$40="Straight-line",'Consumption Forecasts'!AD19,
Dashboard!$C$40="S-curve", $AA19+($AU19-$AA19)*BF$3,
Dashboard!$C$40= "Logarithmic", $AA19+($AU19-$AA19)*BF$7)</f>
        <v>5044.1909047161034</v>
      </c>
      <c r="AE3" s="2" cm="1">
        <f t="array" ref="AE3">_xlfn.IFS(Dashboard!$C$40="Straight-line",'Consumption Forecasts'!AE19,
Dashboard!$C$40="S-curve", $AA19+($AU19-$AA19)*BG$3,
Dashboard!$C$40= "Logarithmic", $AA19+($AU19-$AA19)*BG$7)</f>
        <v>4801.9915910417221</v>
      </c>
      <c r="AF3" s="2" cm="1">
        <f t="array" ref="AF3">_xlfn.IFS(Dashboard!$C$40="Straight-line",'Consumption Forecasts'!AF19,
Dashboard!$C$40="S-curve", $AA19+($AU19-$AA19)*BH$3,
Dashboard!$C$40= "Logarithmic", $AA19+($AU19-$AA19)*BH$7)</f>
        <v>4604.1003427243504</v>
      </c>
      <c r="AG3" s="2" cm="1">
        <f t="array" ref="AG3">_xlfn.IFS(Dashboard!$C$40="Straight-line",'Consumption Forecasts'!AG19,
Dashboard!$C$40="S-curve", $AA19+($AU19-$AA19)*BI$3,
Dashboard!$C$40= "Logarithmic", $AA19+($AU19-$AA19)*BI$7)</f>
        <v>4436.7856762833326</v>
      </c>
      <c r="AH3" s="2" cm="1">
        <f t="array" ref="AH3">_xlfn.IFS(Dashboard!$C$40="Straight-line",'Consumption Forecasts'!AH19,
Dashboard!$C$40="S-curve", $AA19+($AU19-$AA19)*BJ$3,
Dashboard!$C$40= "Logarithmic", $AA19+($AU19-$AA19)*BJ$7)</f>
        <v>4291.8511197739936</v>
      </c>
      <c r="AI3" s="2" cm="1">
        <f t="array" ref="AI3">_xlfn.IFS(Dashboard!$C$40="Straight-line",'Consumption Forecasts'!AI19,
Dashboard!$C$40="S-curve", $AA19+($AU19-$AA19)*BK$3,
Dashboard!$C$40= "Logarithmic", $AA19+($AU19-$AA19)*BK$7)</f>
        <v>4164.0097807325965</v>
      </c>
      <c r="AJ3" s="2" cm="1">
        <f t="array" ref="AJ3">_xlfn.IFS(Dashboard!$C$40="Straight-line",'Consumption Forecasts'!AJ19,
Dashboard!$C$40="S-curve", $AA19+($AU19-$AA19)*BL$3,
Dashboard!$C$40= "Logarithmic", $AA19+($AU19-$AA19)*BL$7)</f>
        <v>4049.6518060996127</v>
      </c>
      <c r="AK3" s="2" cm="1">
        <f t="array" ref="AK3">_xlfn.IFS(Dashboard!$C$40="Straight-line",'Consumption Forecasts'!AK19,
Dashboard!$C$40="S-curve", $AA19+($AU19-$AA19)*BM$3,
Dashboard!$C$40= "Logarithmic", $AA19+($AU19-$AA19)*BM$7)</f>
        <v>3946.2024346128042</v>
      </c>
      <c r="AL3" s="2" cm="1">
        <f t="array" ref="AL3">_xlfn.IFS(Dashboard!$C$40="Straight-line",'Consumption Forecasts'!AL19,
Dashboard!$C$40="S-curve", $AA19+($AU19-$AA19)*BN$3,
Dashboard!$C$40= "Logarithmic", $AA19+($AU19-$AA19)*BN$7)</f>
        <v>3851.7605577822405</v>
      </c>
      <c r="AM3" s="2" cm="1">
        <f t="array" ref="AM3">_xlfn.IFS(Dashboard!$C$40="Straight-line",'Consumption Forecasts'!AM19,
Dashboard!$C$40="S-curve", $AA19+($AU19-$AA19)*BO$3,
Dashboard!$C$40= "Logarithmic", $AA19+($AU19-$AA19)*BO$7)</f>
        <v>3764.8824528628124</v>
      </c>
      <c r="AN3" s="2" cm="1">
        <f t="array" ref="AN3">_xlfn.IFS(Dashboard!$C$40="Straight-line",'Consumption Forecasts'!AN19,
Dashboard!$C$40="S-curve", $AA19+($AU19-$AA19)*BP$3,
Dashboard!$C$40= "Logarithmic", $AA19+($AU19-$AA19)*BP$7)</f>
        <v>3684.4458913412227</v>
      </c>
      <c r="AO3" s="2" cm="1">
        <f t="array" ref="AO3">_xlfn.IFS(Dashboard!$C$40="Straight-line",'Consumption Forecasts'!AO19,
Dashboard!$C$40="S-curve", $AA19+($AU19-$AA19)*BQ$3,
Dashboard!$C$40= "Logarithmic", $AA19+($AU19-$AA19)*BQ$7)</f>
        <v>3609.5612441078588</v>
      </c>
      <c r="AP3" s="2" cm="1">
        <f t="array" ref="AP3">_xlfn.IFS(Dashboard!$C$40="Straight-line",'Consumption Forecasts'!AP19,
Dashboard!$C$40="S-curve", $AA19+($AU19-$AA19)*BR$3,
Dashboard!$C$40= "Logarithmic", $AA19+($AU19-$AA19)*BR$7)</f>
        <v>3539.5113348318841</v>
      </c>
      <c r="AQ3" s="2" cm="1">
        <f t="array" ref="AQ3">_xlfn.IFS(Dashboard!$C$40="Straight-line",'Consumption Forecasts'!AQ19,
Dashboard!$C$40="S-curve", $AA19+($AU19-$AA19)*BS$3,
Dashboard!$C$40= "Logarithmic", $AA19+($AU19-$AA19)*BS$7)</f>
        <v>3473.7095596551781</v>
      </c>
      <c r="AR3" s="2" cm="1">
        <f t="array" ref="AR3">_xlfn.IFS(Dashboard!$C$40="Straight-line",'Consumption Forecasts'!AR19,
Dashboard!$C$40="S-curve", $AA19+($AU19-$AA19)*BT$3,
Dashboard!$C$40= "Logarithmic", $AA19+($AU19-$AA19)*BT$7)</f>
        <v>3411.6699957904871</v>
      </c>
      <c r="AS3" s="2" cm="1">
        <f t="array" ref="AS3">_xlfn.IFS(Dashboard!$C$40="Straight-line",'Consumption Forecasts'!AS19,
Dashboard!$C$40="S-curve", $AA19+($AU19-$AA19)*BU$3,
Dashboard!$C$40= "Logarithmic", $AA19+($AU19-$AA19)*BU$7)</f>
        <v>3352.9856026865054</v>
      </c>
      <c r="AT3" s="2" cm="1">
        <f t="array" ref="AT3">_xlfn.IFS(Dashboard!$C$40="Straight-line",'Consumption Forecasts'!AT19,
Dashboard!$C$40="S-curve", $AA19+($AU19-$AA19)*BV$3,
Dashboard!$C$40= "Logarithmic", $AA19+($AU19-$AA19)*BV$7)</f>
        <v>3297.3120211575024</v>
      </c>
      <c r="AU3" s="2" cm="1">
        <f t="array" ref="AU3">_xlfn.IFS(Dashboard!$C$40="Straight-line",'Consumption Forecasts'!AU19,
Dashboard!$C$40="S-curve", $AA19+($AU19-$AA19)*BW$3,
Dashboard!$C$40= "Logarithmic", $AA19+($AU19-$AA19)*BW$7)</f>
        <v>3244.3553293494688</v>
      </c>
      <c r="AV3" s="24" t="s">
        <v>318</v>
      </c>
      <c r="BB3" s="345" t="s">
        <v>281</v>
      </c>
      <c r="BC3" s="291">
        <v>0.01</v>
      </c>
      <c r="BD3" s="291">
        <v>0.03</v>
      </c>
      <c r="BE3" s="291">
        <v>0.06</v>
      </c>
      <c r="BF3" s="291">
        <v>0.1</v>
      </c>
      <c r="BG3" s="291">
        <v>0.15</v>
      </c>
      <c r="BH3" s="291">
        <v>0.21</v>
      </c>
      <c r="BI3" s="291">
        <v>0.28000000000000003</v>
      </c>
      <c r="BJ3" s="291">
        <v>0.36</v>
      </c>
      <c r="BK3" s="291">
        <v>0.45</v>
      </c>
      <c r="BL3" s="291">
        <v>0.55000000000000004</v>
      </c>
      <c r="BM3" s="291">
        <v>0.64</v>
      </c>
      <c r="BN3" s="291">
        <v>0.72</v>
      </c>
      <c r="BO3" s="291">
        <v>0.79</v>
      </c>
      <c r="BP3" s="291">
        <v>0.85</v>
      </c>
      <c r="BQ3" s="291">
        <v>0.9</v>
      </c>
      <c r="BR3" s="291">
        <v>0.94</v>
      </c>
      <c r="BS3" s="291">
        <v>0.97</v>
      </c>
      <c r="BT3" s="291">
        <v>0.99</v>
      </c>
      <c r="BU3" s="291">
        <v>1</v>
      </c>
      <c r="BV3" s="291">
        <v>1</v>
      </c>
      <c r="BW3" s="291">
        <v>1</v>
      </c>
    </row>
    <row r="4" spans="1:75" x14ac:dyDescent="0.3">
      <c r="A4" s="257" t="s">
        <v>1069</v>
      </c>
      <c r="B4" s="251"/>
      <c r="C4" s="262">
        <f>(C3-B3)/B3</f>
        <v>-8.8616667091202892E-4</v>
      </c>
      <c r="D4" s="262">
        <f t="shared" ref="D4:V4" si="0">(D3-C3)/C3</f>
        <v>-1.4648983161245021E-3</v>
      </c>
      <c r="E4" s="262">
        <f t="shared" si="0"/>
        <v>-2.0018362244802706E-4</v>
      </c>
      <c r="F4" s="262">
        <f t="shared" si="0"/>
        <v>-3.1471120439278212E-4</v>
      </c>
      <c r="G4" s="262">
        <f t="shared" si="0"/>
        <v>-9.4624289585143267E-4</v>
      </c>
      <c r="H4" s="262">
        <f t="shared" si="0"/>
        <v>-2.4936883579877596E-3</v>
      </c>
      <c r="I4" s="262">
        <f t="shared" si="0"/>
        <v>-3.600521501649633E-3</v>
      </c>
      <c r="J4" s="262">
        <f t="shared" si="0"/>
        <v>-6.2638851161717964E-3</v>
      </c>
      <c r="K4" s="262">
        <f t="shared" si="0"/>
        <v>-7.5664610130329055E-3</v>
      </c>
      <c r="L4" s="262">
        <f t="shared" si="0"/>
        <v>-1.2934634386909357E-2</v>
      </c>
      <c r="M4" s="262">
        <f t="shared" si="0"/>
        <v>-1.1300075163663966E-2</v>
      </c>
      <c r="N4" s="262">
        <f t="shared" si="0"/>
        <v>-1.0305232140966451E-2</v>
      </c>
      <c r="O4" s="262">
        <f t="shared" si="0"/>
        <v>-9.9603288937856541E-3</v>
      </c>
      <c r="P4" s="262">
        <f t="shared" si="0"/>
        <v>-9.4244967152759106E-3</v>
      </c>
      <c r="Q4" s="262">
        <f t="shared" si="0"/>
        <v>-8.7660621204217488E-3</v>
      </c>
      <c r="R4" s="262">
        <f t="shared" si="0"/>
        <v>-8.1183368699607912E-3</v>
      </c>
      <c r="S4" s="262">
        <f t="shared" si="0"/>
        <v>-7.4331072732843851E-3</v>
      </c>
      <c r="T4" s="262">
        <f t="shared" si="0"/>
        <v>-6.8486600133482482E-3</v>
      </c>
      <c r="U4" s="262">
        <f t="shared" si="0"/>
        <v>-6.1031084142092176E-3</v>
      </c>
      <c r="V4" s="262">
        <f t="shared" si="0"/>
        <v>-4.7969781368009095E-3</v>
      </c>
      <c r="Y4" s="538"/>
      <c r="Z4" s="3"/>
      <c r="AA4" s="2"/>
      <c r="AB4" s="2"/>
      <c r="AC4" s="2"/>
      <c r="AD4" s="2"/>
      <c r="AE4" s="2"/>
      <c r="AF4" s="2"/>
      <c r="AG4" s="2"/>
      <c r="AH4" s="2"/>
      <c r="AI4" s="2"/>
      <c r="AJ4" s="2"/>
      <c r="AK4" s="2"/>
      <c r="AL4" s="2"/>
      <c r="AM4" s="2"/>
      <c r="AN4" s="2"/>
      <c r="AO4" s="2"/>
      <c r="AP4" s="2"/>
      <c r="AQ4" s="2"/>
      <c r="AR4" s="2"/>
      <c r="AS4" s="2"/>
      <c r="AT4" s="2"/>
      <c r="AU4" s="2"/>
      <c r="AV4" s="24"/>
      <c r="BB4" s="345"/>
      <c r="BC4" s="291"/>
      <c r="BD4" s="291"/>
      <c r="BE4" s="291"/>
      <c r="BF4" s="291"/>
      <c r="BG4" s="291"/>
      <c r="BH4" s="291"/>
      <c r="BI4" s="291"/>
      <c r="BJ4" s="291"/>
      <c r="BK4" s="291"/>
      <c r="BL4" s="291"/>
      <c r="BM4" s="291"/>
      <c r="BN4" s="291"/>
      <c r="BO4" s="291"/>
      <c r="BP4" s="291"/>
      <c r="BQ4" s="291"/>
      <c r="BR4" s="291"/>
      <c r="BS4" s="291"/>
      <c r="BT4" s="291"/>
      <c r="BU4" s="291"/>
      <c r="BV4" s="291"/>
      <c r="BW4" s="291"/>
    </row>
    <row r="5" spans="1:75" x14ac:dyDescent="0.3">
      <c r="A5" s="245" t="s">
        <v>18</v>
      </c>
      <c r="B5" s="251">
        <f>IF(Dashboard!$C$10="Medium Demand", 'Consumption Forecasts'!B29, IF(Dashboard!$C$10="High Demand", 'Consumption Forecasts'!B20, IF(Dashboard!$C$10="Low Demand", 'Consumption Forecasts'!B38,0)))</f>
        <v>9497.1742721705814</v>
      </c>
      <c r="C5" s="251">
        <f>IF(Dashboard!$C$10="Medium Demand", 'Consumption Forecasts'!C29, IF(Dashboard!$C$10="High Demand", 'Consumption Forecasts'!C20, IF(Dashboard!$C$10="Low Demand", 'Consumption Forecasts'!C38,0)))</f>
        <v>9464.4542555829921</v>
      </c>
      <c r="D5" s="251">
        <f>IF(Dashboard!$C$10="Medium Demand", 'Consumption Forecasts'!D29, IF(Dashboard!$C$10="High Demand", 'Consumption Forecasts'!D20, IF(Dashboard!$C$10="Low Demand", 'Consumption Forecasts'!D38,0)))</f>
        <v>9414.9636763390772</v>
      </c>
      <c r="E5" s="251">
        <f>IF(Dashboard!$C$10="Medium Demand", 'Consumption Forecasts'!E29, IF(Dashboard!$C$10="High Demand", 'Consumption Forecasts'!E20, IF(Dashboard!$C$10="Low Demand", 'Consumption Forecasts'!E38,0)))</f>
        <v>9380.8953507643473</v>
      </c>
      <c r="F5" s="251">
        <f>IF(Dashboard!$C$10="Medium Demand", 'Consumption Forecasts'!F29, IF(Dashboard!$C$10="High Demand", 'Consumption Forecasts'!F20, IF(Dashboard!$C$10="Low Demand", 'Consumption Forecasts'!F38,0)))</f>
        <v>9354.523328363457</v>
      </c>
      <c r="G5" s="251">
        <f>IF(Dashboard!$C$10="Medium Demand", 'Consumption Forecasts'!G29, IF(Dashboard!$C$10="High Demand", 'Consumption Forecasts'!G20, IF(Dashboard!$C$10="Low Demand", 'Consumption Forecasts'!G38,0)))</f>
        <v>9335.8812479357166</v>
      </c>
      <c r="H5" s="251">
        <f>IF(Dashboard!$C$10="Medium Demand", 'Consumption Forecasts'!H29, IF(Dashboard!$C$10="High Demand", 'Consumption Forecasts'!H20, IF(Dashboard!$C$10="Low Demand", 'Consumption Forecasts'!H38,0)))</f>
        <v>9315.5509759371707</v>
      </c>
      <c r="I5" s="251">
        <f>IF(Dashboard!$C$10="Medium Demand", 'Consumption Forecasts'!I29, IF(Dashboard!$C$10="High Demand", 'Consumption Forecasts'!I20, IF(Dashboard!$C$10="Low Demand", 'Consumption Forecasts'!I38,0)))</f>
        <v>9308.9128383411862</v>
      </c>
      <c r="J5" s="251">
        <f>IF(Dashboard!$C$10="Medium Demand", 'Consumption Forecasts'!J29, IF(Dashboard!$C$10="High Demand", 'Consumption Forecasts'!J20, IF(Dashboard!$C$10="Low Demand", 'Consumption Forecasts'!J38,0)))</f>
        <v>9293.0553265599374</v>
      </c>
      <c r="K5" s="251">
        <f>IF(Dashboard!$C$10="Medium Demand", 'Consumption Forecasts'!K29, IF(Dashboard!$C$10="High Demand", 'Consumption Forecasts'!K20, IF(Dashboard!$C$10="Low Demand", 'Consumption Forecasts'!K38,0)))</f>
        <v>9311.8233183032207</v>
      </c>
      <c r="L5" s="251">
        <f>IF(Dashboard!$C$10="Medium Demand", 'Consumption Forecasts'!L29, IF(Dashboard!$C$10="High Demand", 'Consumption Forecasts'!L20, IF(Dashboard!$C$10="Low Demand", 'Consumption Forecasts'!L38,0)))</f>
        <v>9268.0935723745279</v>
      </c>
      <c r="M5" s="251">
        <f>IF(Dashboard!$C$10="Medium Demand", 'Consumption Forecasts'!M29, IF(Dashboard!$C$10="High Demand", 'Consumption Forecasts'!M20, IF(Dashboard!$C$10="Low Demand", 'Consumption Forecasts'!M38,0)))</f>
        <v>9231.2353877286496</v>
      </c>
      <c r="N5" s="251">
        <f>IF(Dashboard!$C$10="Medium Demand", 'Consumption Forecasts'!N29, IF(Dashboard!$C$10="High Demand", 'Consumption Forecasts'!N20, IF(Dashboard!$C$10="Low Demand", 'Consumption Forecasts'!N38,0)))</f>
        <v>9200.8575615488771</v>
      </c>
      <c r="O5" s="251">
        <f>IF(Dashboard!$C$10="Medium Demand", 'Consumption Forecasts'!O29, IF(Dashboard!$C$10="High Demand", 'Consumption Forecasts'!O20, IF(Dashboard!$C$10="Low Demand", 'Consumption Forecasts'!O38,0)))</f>
        <v>9169.3344372266056</v>
      </c>
      <c r="P5" s="251">
        <f>IF(Dashboard!$C$10="Medium Demand", 'Consumption Forecasts'!P29, IF(Dashboard!$C$10="High Demand", 'Consumption Forecasts'!P20, IF(Dashboard!$C$10="Low Demand", 'Consumption Forecasts'!P38,0)))</f>
        <v>9137.467103626097</v>
      </c>
      <c r="Q5" s="251">
        <f>IF(Dashboard!$C$10="Medium Demand", 'Consumption Forecasts'!Q29, IF(Dashboard!$C$10="High Demand", 'Consumption Forecasts'!Q20, IF(Dashboard!$C$10="Low Demand", 'Consumption Forecasts'!Q38,0)))</f>
        <v>9106.1563445978099</v>
      </c>
      <c r="R5" s="251">
        <f>IF(Dashboard!$C$10="Medium Demand", 'Consumption Forecasts'!R29, IF(Dashboard!$C$10="High Demand", 'Consumption Forecasts'!R20, IF(Dashboard!$C$10="Low Demand", 'Consumption Forecasts'!R38,0)))</f>
        <v>9075.0607363962663</v>
      </c>
      <c r="S5" s="251">
        <f>IF(Dashboard!$C$10="Medium Demand", 'Consumption Forecasts'!S29, IF(Dashboard!$C$10="High Demand", 'Consumption Forecasts'!S20, IF(Dashboard!$C$10="Low Demand", 'Consumption Forecasts'!S38,0)))</f>
        <v>9045.3590663366303</v>
      </c>
      <c r="T5" s="251">
        <f>IF(Dashboard!$C$10="Medium Demand", 'Consumption Forecasts'!T29, IF(Dashboard!$C$10="High Demand", 'Consumption Forecasts'!T20, IF(Dashboard!$C$10="Low Demand", 'Consumption Forecasts'!T38,0)))</f>
        <v>9017.0116314988518</v>
      </c>
      <c r="U5" s="251">
        <f>IF(Dashboard!$C$10="Medium Demand", 'Consumption Forecasts'!U29, IF(Dashboard!$C$10="High Demand", 'Consumption Forecasts'!U20, IF(Dashboard!$C$10="Low Demand", 'Consumption Forecasts'!U38,0)))</f>
        <v>8984.8063103417826</v>
      </c>
      <c r="V5" s="251">
        <f>IF(Dashboard!$C$10="Medium Demand", 'Consumption Forecasts'!V29, IF(Dashboard!$C$10="High Demand", 'Consumption Forecasts'!V20, IF(Dashboard!$C$10="Low Demand", 'Consumption Forecasts'!V38,0)))</f>
        <v>8960.3101268901337</v>
      </c>
      <c r="Y5" s="538"/>
      <c r="Z5" s="3" t="s">
        <v>1</v>
      </c>
      <c r="AA5" s="2" cm="1">
        <f t="array" ref="AA5">_xlfn.IFS(Dashboard!$C$40="Straight-line",'Consumption Forecasts'!AA20, Dashboard!$C$40="S-curve", 'Consumption Forecasts'!AA20, Dashboard!$C$40= "Logarithmic", 'Consumption Forecasts'!AA20)</f>
        <v>9497.1742721705814</v>
      </c>
      <c r="AB5" s="2" cm="1">
        <f t="array" ref="AB5">_xlfn.IFS(Dashboard!$C$40="Straight-line",'Consumption Forecasts'!AB20,
Dashboard!$C$40="S-curve", $AA20+($AU20-$AA20)*BD$3,
Dashboard!$C$40= "Logarithmic", $AA20+($AU20-$AA20)*BD$7)</f>
        <v>8629.6066331792281</v>
      </c>
      <c r="AC5" s="2" cm="1">
        <f t="array" ref="AC5">_xlfn.IFS(Dashboard!$C$40="Straight-line",'Consumption Forecasts'!AC20,
Dashboard!$C$40="S-curve", $AA20+($AU20-$AA20)*BE$3,
Dashboard!$C$40= "Logarithmic", $AA20+($AU20-$AA20)*BE$7)</f>
        <v>8122.1120975300973</v>
      </c>
      <c r="AD5" s="2" cm="1">
        <f t="array" ref="AD5">_xlfn.IFS(Dashboard!$C$40="Straight-line",'Consumption Forecasts'!AD20,
Dashboard!$C$40="S-curve", $AA20+($AU20-$AA20)*BF$3,
Dashboard!$C$40= "Logarithmic", $AA20+($AU20-$AA20)*BF$7)</f>
        <v>7762.0389941878748</v>
      </c>
      <c r="AE5" s="2" cm="1">
        <f t="array" ref="AE5">_xlfn.IFS(Dashboard!$C$40="Straight-line",'Consumption Forecasts'!AE20,
Dashboard!$C$40="S-curve", $AA20+($AU20-$AA20)*BG$3,
Dashboard!$C$40= "Logarithmic", $AA20+($AU20-$AA20)*BG$7)</f>
        <v>7482.7445969814617</v>
      </c>
      <c r="AF5" s="2" cm="1">
        <f t="array" ref="AF5">_xlfn.IFS(Dashboard!$C$40="Straight-line",'Consumption Forecasts'!AF20,
Dashboard!$C$40="S-curve", $AA20+($AU20-$AA20)*BH$3,
Dashboard!$C$40= "Logarithmic", $AA20+($AU20-$AA20)*BH$7)</f>
        <v>7254.544458538744</v>
      </c>
      <c r="AG5" s="2" cm="1">
        <f t="array" ref="AG5">_xlfn.IFS(Dashboard!$C$40="Straight-line",'Consumption Forecasts'!AG20,
Dashboard!$C$40="S-curve", $AA20+($AU20-$AA20)*BI$3,
Dashboard!$C$40= "Logarithmic", $AA20+($AU20-$AA20)*BI$7)</f>
        <v>7061.6039906303122</v>
      </c>
      <c r="AH5" s="2" cm="1">
        <f t="array" ref="AH5">_xlfn.IFS(Dashboard!$C$40="Straight-line",'Consumption Forecasts'!AH20,
Dashboard!$C$40="S-curve", $AA20+($AU20-$AA20)*BJ$3,
Dashboard!$C$40= "Logarithmic", $AA20+($AU20-$AA20)*BJ$7)</f>
        <v>6894.4713551965215</v>
      </c>
      <c r="AI5" s="2" cm="1">
        <f t="array" ref="AI5">_xlfn.IFS(Dashboard!$C$40="Straight-line",'Consumption Forecasts'!AI20,
Dashboard!$C$40="S-curve", $AA20+($AU20-$AA20)*BK$3,
Dashboard!$C$40= "Logarithmic", $AA20+($AU20-$AA20)*BK$7)</f>
        <v>6747.0499228896133</v>
      </c>
      <c r="AJ5" s="2" cm="1">
        <f t="array" ref="AJ5">_xlfn.IFS(Dashboard!$C$40="Straight-line",'Consumption Forecasts'!AJ20,
Dashboard!$C$40="S-curve", $AA20+($AU20-$AA20)*BL$3,
Dashboard!$C$40= "Logarithmic", $AA20+($AU20-$AA20)*BL$7)</f>
        <v>6615.1769579901083</v>
      </c>
      <c r="AK5" s="2" cm="1">
        <f t="array" ref="AK5">_xlfn.IFS(Dashboard!$C$40="Straight-line",'Consumption Forecasts'!AK20,
Dashboard!$C$40="S-curve", $AA20+($AU20-$AA20)*BM$3,
Dashboard!$C$40= "Logarithmic", $AA20+($AU20-$AA20)*BM$7)</f>
        <v>6495.8833505373859</v>
      </c>
      <c r="AL5" s="2" cm="1">
        <f t="array" ref="AL5">_xlfn.IFS(Dashboard!$C$40="Straight-line",'Consumption Forecasts'!AL20,
Dashboard!$C$40="S-curve", $AA20+($AU20-$AA20)*BN$3,
Dashboard!$C$40= "Logarithmic", $AA20+($AU20-$AA20)*BN$7)</f>
        <v>6386.9768195473907</v>
      </c>
      <c r="AM5" s="2" cm="1">
        <f t="array" ref="AM5">_xlfn.IFS(Dashboard!$C$40="Straight-line",'Consumption Forecasts'!AM20,
Dashboard!$C$40="S-curve", $AA20+($AU20-$AA20)*BO$3,
Dashboard!$C$40= "Logarithmic", $AA20+($AU20-$AA20)*BO$7)</f>
        <v>6286.7925226730858</v>
      </c>
      <c r="AN5" s="2" cm="1">
        <f t="array" ref="AN5">_xlfn.IFS(Dashboard!$C$40="Straight-line",'Consumption Forecasts'!AN20,
Dashboard!$C$40="S-curve", $AA20+($AU20-$AA20)*BP$3,
Dashboard!$C$40= "Logarithmic", $AA20+($AU20-$AA20)*BP$7)</f>
        <v>6194.0363516389589</v>
      </c>
      <c r="AO5" s="2" cm="1">
        <f t="array" ref="AO5">_xlfn.IFS(Dashboard!$C$40="Straight-line",'Consumption Forecasts'!AO20,
Dashboard!$C$40="S-curve", $AA20+($AU20-$AA20)*BQ$3,
Dashboard!$C$40= "Logarithmic", $AA20+($AU20-$AA20)*BQ$7)</f>
        <v>6107.6824223409767</v>
      </c>
      <c r="AP5" s="2" cm="1">
        <f t="array" ref="AP5">_xlfn.IFS(Dashboard!$C$40="Straight-line",'Consumption Forecasts'!AP20,
Dashboard!$C$40="S-curve", $AA20+($AU20-$AA20)*BR$3,
Dashboard!$C$40= "Logarithmic", $AA20+($AU20-$AA20)*BR$7)</f>
        <v>6026.9037162051691</v>
      </c>
      <c r="AQ5" s="2" cm="1">
        <f t="array" ref="AQ5">_xlfn.IFS(Dashboard!$C$40="Straight-line",'Consumption Forecasts'!AQ20,
Dashboard!$C$40="S-curve", $AA20+($AU20-$AA20)*BS$3,
Dashboard!$C$40= "Logarithmic", $AA20+($AU20-$AA20)*BS$7)</f>
        <v>5951.0237855221367</v>
      </c>
      <c r="AR5" s="2" cm="1">
        <f t="array" ref="AR5">_xlfn.IFS(Dashboard!$C$40="Straight-line",'Consumption Forecasts'!AR20,
Dashboard!$C$40="S-curve", $AA20+($AU20-$AA20)*BT$3,
Dashboard!$C$40= "Logarithmic", $AA20+($AU20-$AA20)*BT$7)</f>
        <v>5879.48228389826</v>
      </c>
      <c r="AS5" s="2" cm="1">
        <f t="array" ref="AS5">_xlfn.IFS(Dashboard!$C$40="Straight-line",'Consumption Forecasts'!AS20,
Dashboard!$C$40="S-curve", $AA20+($AU20-$AA20)*BU$3,
Dashboard!$C$40= "Logarithmic", $AA20+($AU20-$AA20)*BU$7)</f>
        <v>5811.8098287259209</v>
      </c>
      <c r="AT5" s="2" cm="1">
        <f t="array" ref="AT5">_xlfn.IFS(Dashboard!$C$40="Straight-line",'Consumption Forecasts'!AT20,
Dashboard!$C$40="S-curve", $AA20+($AU20-$AA20)*BV$3,
Dashboard!$C$40= "Logarithmic", $AA20+($AU20-$AA20)*BV$7)</f>
        <v>5747.609318998755</v>
      </c>
      <c r="AU5" s="2" cm="1">
        <f t="array" ref="AU5">_xlfn.IFS(Dashboard!$C$40="Straight-line",'Consumption Forecasts'!AU20,
Dashboard!$C$40="S-curve", $AA20+($AU20-$AA20)*BW$3,
Dashboard!$C$40= "Logarithmic", $AA20+($AU20-$AA20)*BW$7)</f>
        <v>5686.5418159898272</v>
      </c>
      <c r="BB5" s="345" t="s">
        <v>912</v>
      </c>
      <c r="BC5" s="241">
        <f>LOG(BC2-2019)</f>
        <v>0</v>
      </c>
      <c r="BD5" s="241">
        <f t="shared" ref="BD5:BW5" si="1">LOG(BD2-2019)</f>
        <v>0.3010299956639812</v>
      </c>
      <c r="BE5" s="241">
        <f t="shared" si="1"/>
        <v>0.47712125471966244</v>
      </c>
      <c r="BF5" s="241">
        <f t="shared" si="1"/>
        <v>0.6020599913279624</v>
      </c>
      <c r="BG5" s="241">
        <f t="shared" si="1"/>
        <v>0.69897000433601886</v>
      </c>
      <c r="BH5" s="241">
        <f t="shared" si="1"/>
        <v>0.77815125038364363</v>
      </c>
      <c r="BI5" s="241">
        <f t="shared" si="1"/>
        <v>0.84509804001425681</v>
      </c>
      <c r="BJ5" s="241">
        <f t="shared" si="1"/>
        <v>0.90308998699194354</v>
      </c>
      <c r="BK5" s="241">
        <f t="shared" si="1"/>
        <v>0.95424250943932487</v>
      </c>
      <c r="BL5" s="241">
        <f t="shared" si="1"/>
        <v>1</v>
      </c>
      <c r="BM5" s="241">
        <f t="shared" si="1"/>
        <v>1.0413926851582251</v>
      </c>
      <c r="BN5" s="241">
        <f t="shared" si="1"/>
        <v>1.0791812460476249</v>
      </c>
      <c r="BO5" s="241">
        <f t="shared" si="1"/>
        <v>1.1139433523068367</v>
      </c>
      <c r="BP5" s="241">
        <f t="shared" si="1"/>
        <v>1.146128035678238</v>
      </c>
      <c r="BQ5" s="241">
        <f t="shared" si="1"/>
        <v>1.1760912590556813</v>
      </c>
      <c r="BR5" s="241">
        <f t="shared" si="1"/>
        <v>1.2041199826559248</v>
      </c>
      <c r="BS5" s="241">
        <f t="shared" si="1"/>
        <v>1.2304489213782739</v>
      </c>
      <c r="BT5" s="241">
        <f t="shared" si="1"/>
        <v>1.255272505103306</v>
      </c>
      <c r="BU5" s="241">
        <f t="shared" si="1"/>
        <v>1.2787536009528289</v>
      </c>
      <c r="BV5" s="241">
        <f t="shared" si="1"/>
        <v>1.3010299956639813</v>
      </c>
      <c r="BW5" s="241">
        <f t="shared" si="1"/>
        <v>1.3222192947339193</v>
      </c>
    </row>
    <row r="6" spans="1:75" x14ac:dyDescent="0.3">
      <c r="A6" s="257" t="s">
        <v>1070</v>
      </c>
      <c r="B6" s="251"/>
      <c r="C6" s="262">
        <f>(C5-B5)/B5</f>
        <v>-3.4452370410289527E-3</v>
      </c>
      <c r="D6" s="262">
        <f>(D5-C5)/C5</f>
        <v>-5.2291001580699577E-3</v>
      </c>
      <c r="E6" s="262">
        <f>(E5-D5)/D5</f>
        <v>-3.6185296880483614E-3</v>
      </c>
      <c r="F6" s="262">
        <f>(F5-E5)/E5</f>
        <v>-2.8112479048965728E-3</v>
      </c>
      <c r="G6" s="262">
        <f>(G5-F5)/F5</f>
        <v>-1.992841299696861E-3</v>
      </c>
      <c r="H6" s="262">
        <f t="shared" ref="H6:V6" si="2">(H5-G5)/G5</f>
        <v>-2.1776489501771621E-3</v>
      </c>
      <c r="I6" s="262">
        <f t="shared" si="2"/>
        <v>-7.1258668576140792E-4</v>
      </c>
      <c r="J6" s="262">
        <f t="shared" si="2"/>
        <v>-1.7034762336516388E-3</v>
      </c>
      <c r="K6" s="262">
        <f t="shared" si="2"/>
        <v>2.0195717214384432E-3</v>
      </c>
      <c r="L6" s="262">
        <f t="shared" si="2"/>
        <v>-4.6961528836933731E-3</v>
      </c>
      <c r="M6" s="262">
        <f t="shared" si="2"/>
        <v>-3.9768895682863771E-3</v>
      </c>
      <c r="N6" s="262">
        <f t="shared" si="2"/>
        <v>-3.2907649847337427E-3</v>
      </c>
      <c r="O6" s="262">
        <f t="shared" si="2"/>
        <v>-3.4261071983126019E-3</v>
      </c>
      <c r="P6" s="262">
        <f t="shared" si="2"/>
        <v>-3.475424941545408E-3</v>
      </c>
      <c r="Q6" s="262">
        <f t="shared" si="2"/>
        <v>-3.4266343914783298E-3</v>
      </c>
      <c r="R6" s="262">
        <f t="shared" si="2"/>
        <v>-3.4147896241635469E-3</v>
      </c>
      <c r="S6" s="262">
        <f t="shared" si="2"/>
        <v>-3.272889396818579E-3</v>
      </c>
      <c r="T6" s="262">
        <f t="shared" si="2"/>
        <v>-3.1339203485328607E-3</v>
      </c>
      <c r="U6" s="262">
        <f t="shared" si="2"/>
        <v>-3.5716180119550168E-3</v>
      </c>
      <c r="V6" s="262">
        <f t="shared" si="2"/>
        <v>-2.7264008377624188E-3</v>
      </c>
      <c r="Y6" s="538"/>
      <c r="Z6" s="3"/>
      <c r="AA6" s="2"/>
      <c r="AB6" s="2"/>
      <c r="AC6" s="2"/>
      <c r="AD6" s="2"/>
      <c r="AE6" s="2"/>
      <c r="AF6" s="2"/>
      <c r="AG6" s="2"/>
      <c r="AH6" s="2"/>
      <c r="AI6" s="2"/>
      <c r="AJ6" s="2"/>
      <c r="AK6" s="2"/>
      <c r="AL6" s="2"/>
      <c r="AM6" s="2"/>
      <c r="AN6" s="2"/>
      <c r="AO6" s="2"/>
      <c r="AP6" s="2"/>
      <c r="AQ6" s="2"/>
      <c r="AR6" s="2"/>
      <c r="AS6" s="2"/>
      <c r="AT6" s="2"/>
      <c r="AU6" s="2"/>
      <c r="BB6" s="345"/>
      <c r="BC6" s="241"/>
      <c r="BD6" s="241"/>
      <c r="BE6" s="241"/>
      <c r="BF6" s="241"/>
      <c r="BG6" s="241"/>
      <c r="BH6" s="241"/>
      <c r="BI6" s="241"/>
      <c r="BJ6" s="241"/>
      <c r="BK6" s="241"/>
      <c r="BL6" s="241"/>
      <c r="BM6" s="241"/>
      <c r="BN6" s="241"/>
      <c r="BO6" s="241"/>
      <c r="BP6" s="241"/>
      <c r="BQ6" s="241"/>
      <c r="BR6" s="241"/>
      <c r="BS6" s="241"/>
      <c r="BT6" s="241"/>
      <c r="BU6" s="241"/>
      <c r="BV6" s="241"/>
      <c r="BW6" s="241"/>
    </row>
    <row r="7" spans="1:75" x14ac:dyDescent="0.3">
      <c r="A7" s="245" t="s">
        <v>60</v>
      </c>
      <c r="B7" s="251">
        <f>IF(Dashboard!$C$10="Medium Demand", 'Consumption Forecasts'!B30, IF(Dashboard!$C$10="High Demand", 'Consumption Forecasts'!B21, IF(Dashboard!$C$10="Low Demand", 'Consumption Forecasts'!B39,0)))</f>
        <v>1853.2210095348682</v>
      </c>
      <c r="C7" s="251">
        <f>IF(Dashboard!$C$10="Medium Demand", 'Consumption Forecasts'!C30, IF(Dashboard!$C$10="High Demand", 'Consumption Forecasts'!C21, IF(Dashboard!$C$10="Low Demand", 'Consumption Forecasts'!C39,0)))</f>
        <v>1954.1689718472956</v>
      </c>
      <c r="D7" s="251">
        <f>IF(Dashboard!$C$10="Medium Demand", 'Consumption Forecasts'!D30, IF(Dashboard!$C$10="High Demand", 'Consumption Forecasts'!D21, IF(Dashboard!$C$10="Low Demand", 'Consumption Forecasts'!D39,0)))</f>
        <v>2065.9151973074277</v>
      </c>
      <c r="E7" s="251">
        <f>IF(Dashboard!$C$10="Medium Demand", 'Consumption Forecasts'!E30, IF(Dashboard!$C$10="High Demand", 'Consumption Forecasts'!E21, IF(Dashboard!$C$10="Low Demand", 'Consumption Forecasts'!E39,0)))</f>
        <v>2175.4205780438515</v>
      </c>
      <c r="F7" s="251">
        <f>IF(Dashboard!$C$10="Medium Demand", 'Consumption Forecasts'!F30, IF(Dashboard!$C$10="High Demand", 'Consumption Forecasts'!F21, IF(Dashboard!$C$10="Low Demand", 'Consumption Forecasts'!F39,0)))</f>
        <v>2270.1744385375937</v>
      </c>
      <c r="G7" s="251">
        <f>IF(Dashboard!$C$10="Medium Demand", 'Consumption Forecasts'!G30, IF(Dashboard!$C$10="High Demand", 'Consumption Forecasts'!G21, IF(Dashboard!$C$10="Low Demand", 'Consumption Forecasts'!G39,0)))</f>
        <v>2345.7155481354957</v>
      </c>
      <c r="H7" s="251">
        <f>IF(Dashboard!$C$10="Medium Demand", 'Consumption Forecasts'!H30, IF(Dashboard!$C$10="High Demand", 'Consumption Forecasts'!H21, IF(Dashboard!$C$10="Low Demand", 'Consumption Forecasts'!H39,0)))</f>
        <v>2405.723700063365</v>
      </c>
      <c r="I7" s="251">
        <f>IF(Dashboard!$C$10="Medium Demand", 'Consumption Forecasts'!I30, IF(Dashboard!$C$10="High Demand", 'Consumption Forecasts'!I21, IF(Dashboard!$C$10="Low Demand", 'Consumption Forecasts'!I39,0)))</f>
        <v>2436.7682298325399</v>
      </c>
      <c r="J7" s="251">
        <f>IF(Dashboard!$C$10="Medium Demand", 'Consumption Forecasts'!J30, IF(Dashboard!$C$10="High Demand", 'Consumption Forecasts'!J21, IF(Dashboard!$C$10="Low Demand", 'Consumption Forecasts'!J39,0)))</f>
        <v>2446.4238582573348</v>
      </c>
      <c r="K7" s="251">
        <f>IF(Dashboard!$C$10="Medium Demand", 'Consumption Forecasts'!K30, IF(Dashboard!$C$10="High Demand", 'Consumption Forecasts'!K21, IF(Dashboard!$C$10="Low Demand", 'Consumption Forecasts'!K39,0)))</f>
        <v>2401.3067476820788</v>
      </c>
      <c r="L7" s="251">
        <f>IF(Dashboard!$C$10="Medium Demand", 'Consumption Forecasts'!L30, IF(Dashboard!$C$10="High Demand", 'Consumption Forecasts'!L21, IF(Dashboard!$C$10="Low Demand", 'Consumption Forecasts'!L39,0)))</f>
        <v>2363.8873136874427</v>
      </c>
      <c r="M7" s="251">
        <f>IF(Dashboard!$C$10="Medium Demand", 'Consumption Forecasts'!M30, IF(Dashboard!$C$10="High Demand", 'Consumption Forecasts'!M21, IF(Dashboard!$C$10="Low Demand", 'Consumption Forecasts'!M39,0)))</f>
        <v>2339.4211169155355</v>
      </c>
      <c r="N7" s="251">
        <f>IF(Dashboard!$C$10="Medium Demand", 'Consumption Forecasts'!N30, IF(Dashboard!$C$10="High Demand", 'Consumption Forecasts'!N21, IF(Dashboard!$C$10="Low Demand", 'Consumption Forecasts'!N39,0)))</f>
        <v>2319.9922010292112</v>
      </c>
      <c r="O7" s="251">
        <f>IF(Dashboard!$C$10="Medium Demand", 'Consumption Forecasts'!O30, IF(Dashboard!$C$10="High Demand", 'Consumption Forecasts'!O21, IF(Dashboard!$C$10="Low Demand", 'Consumption Forecasts'!O39,0)))</f>
        <v>2305.7432081733605</v>
      </c>
      <c r="P7" s="251">
        <f>IF(Dashboard!$C$10="Medium Demand", 'Consumption Forecasts'!P30, IF(Dashboard!$C$10="High Demand", 'Consumption Forecasts'!P21, IF(Dashboard!$C$10="Low Demand", 'Consumption Forecasts'!P39,0)))</f>
        <v>2298.6782754755368</v>
      </c>
      <c r="Q7" s="251">
        <f>IF(Dashboard!$C$10="Medium Demand", 'Consumption Forecasts'!Q30, IF(Dashboard!$C$10="High Demand", 'Consumption Forecasts'!Q21, IF(Dashboard!$C$10="Low Demand", 'Consumption Forecasts'!Q39,0)))</f>
        <v>2298.2298558747143</v>
      </c>
      <c r="R7" s="251">
        <f>IF(Dashboard!$C$10="Medium Demand", 'Consumption Forecasts'!R30, IF(Dashboard!$C$10="High Demand", 'Consumption Forecasts'!R21, IF(Dashboard!$C$10="Low Demand", 'Consumption Forecasts'!R39,0)))</f>
        <v>2303.9409231126579</v>
      </c>
      <c r="S7" s="251">
        <f>IF(Dashboard!$C$10="Medium Demand", 'Consumption Forecasts'!S30, IF(Dashboard!$C$10="High Demand", 'Consumption Forecasts'!S21, IF(Dashboard!$C$10="Low Demand", 'Consumption Forecasts'!S39,0)))</f>
        <v>2315.4860345586617</v>
      </c>
      <c r="T7" s="251">
        <f>IF(Dashboard!$C$10="Medium Demand", 'Consumption Forecasts'!T30, IF(Dashboard!$C$10="High Demand", 'Consumption Forecasts'!T21, IF(Dashboard!$C$10="Low Demand", 'Consumption Forecasts'!T39,0)))</f>
        <v>2331.6468854780614</v>
      </c>
      <c r="U7" s="251">
        <f>IF(Dashboard!$C$10="Medium Demand", 'Consumption Forecasts'!U30, IF(Dashboard!$C$10="High Demand", 'Consumption Forecasts'!U21, IF(Dashboard!$C$10="Low Demand", 'Consumption Forecasts'!U39,0)))</f>
        <v>2354.8481340444609</v>
      </c>
      <c r="V7" s="251">
        <f>IF(Dashboard!$C$10="Medium Demand", 'Consumption Forecasts'!V30, IF(Dashboard!$C$10="High Demand", 'Consumption Forecasts'!V21, IF(Dashboard!$C$10="Low Demand", 'Consumption Forecasts'!V39,0)))</f>
        <v>2385.3082098952568</v>
      </c>
      <c r="Y7" s="538"/>
      <c r="Z7" s="3" t="s">
        <v>2</v>
      </c>
      <c r="AA7" s="2" cm="1">
        <f t="array" ref="AA7">_xlfn.IFS(Dashboard!$C$40="Straight-line",'Consumption Forecasts'!AA21, Dashboard!$C$40="S-curve", 'Consumption Forecasts'!AA21, Dashboard!$C$40= "Logarithmic", 'Consumption Forecasts'!AA21)</f>
        <v>1853.2210095348682</v>
      </c>
      <c r="AB7" s="2" cm="1">
        <f t="array" ref="AB7">_xlfn.IFS(Dashboard!$C$40="Straight-line",'Consumption Forecasts'!AB21,
Dashboard!$C$40="S-curve", $AA21+($AU21-$AA21)*BD$3,
Dashboard!$C$40= "Logarithmic", $AA21+($AU21-$AA21)*BD$7)</f>
        <v>1885.9530633764491</v>
      </c>
      <c r="AC7" s="2" cm="1">
        <f t="array" ref="AC7">_xlfn.IFS(Dashboard!$C$40="Straight-line",'Consumption Forecasts'!AC21,
Dashboard!$C$40="S-curve", $AA21+($AU21-$AA21)*BE$3,
Dashboard!$C$40= "Logarithmic", $AA21+($AU21-$AA21)*BE$7)</f>
        <v>1905.1000874453598</v>
      </c>
      <c r="AD7" s="2" cm="1">
        <f t="array" ref="AD7">_xlfn.IFS(Dashboard!$C$40="Straight-line",'Consumption Forecasts'!AD21,
Dashboard!$C$40="S-curve", $AA21+($AU21-$AA21)*BF$3,
Dashboard!$C$40= "Logarithmic", $AA21+($AU21-$AA21)*BF$7)</f>
        <v>1918.68511721803</v>
      </c>
      <c r="AE7" s="2" cm="1">
        <f t="array" ref="AE7">_xlfn.IFS(Dashboard!$C$40="Straight-line",'Consumption Forecasts'!AE21,
Dashboard!$C$40="S-curve", $AA21+($AU21-$AA21)*BG$3,
Dashboard!$C$40= "Logarithmic", $AA21+($AU21-$AA21)*BG$7)</f>
        <v>1929.2224849530007</v>
      </c>
      <c r="AF7" s="2" cm="1">
        <f t="array" ref="AF7">_xlfn.IFS(Dashboard!$C$40="Straight-line",'Consumption Forecasts'!AF21,
Dashboard!$C$40="S-curve", $AA21+($AU21-$AA21)*BH$3,
Dashboard!$C$40= "Logarithmic", $AA21+($AU21-$AA21)*BH$7)</f>
        <v>1937.8321412869407</v>
      </c>
      <c r="AG7" s="2" cm="1">
        <f t="array" ref="AG7">_xlfn.IFS(Dashboard!$C$40="Straight-line",'Consumption Forecasts'!AG21,
Dashboard!$C$40="S-curve", $AA21+($AU21-$AA21)*BI$3,
Dashboard!$C$40= "Logarithmic", $AA21+($AU21-$AA21)*BI$7)</f>
        <v>1945.1115019960848</v>
      </c>
      <c r="AH7" s="2" cm="1">
        <f t="array" ref="AH7">_xlfn.IFS(Dashboard!$C$40="Straight-line",'Consumption Forecasts'!AH21,
Dashboard!$C$40="S-curve", $AA21+($AU21-$AA21)*BJ$3,
Dashboard!$C$40= "Logarithmic", $AA21+($AU21-$AA21)*BJ$7)</f>
        <v>1951.4171710596108</v>
      </c>
      <c r="AI7" s="2" cm="1">
        <f t="array" ref="AI7">_xlfn.IFS(Dashboard!$C$40="Straight-line",'Consumption Forecasts'!AI21,
Dashboard!$C$40="S-curve", $AA21+($AU21-$AA21)*BK$3,
Dashboard!$C$40= "Logarithmic", $AA21+($AU21-$AA21)*BK$7)</f>
        <v>1956.9791653558514</v>
      </c>
      <c r="AJ7" s="2" cm="1">
        <f t="array" ref="AJ7">_xlfn.IFS(Dashboard!$C$40="Straight-line",'Consumption Forecasts'!AJ21,
Dashboard!$C$40="S-curve", $AA21+($AU21-$AA21)*BL$3,
Dashboard!$C$40= "Logarithmic", $AA21+($AU21-$AA21)*BL$7)</f>
        <v>1961.9545387945816</v>
      </c>
      <c r="AK7" s="2" cm="1">
        <f t="array" ref="AK7">_xlfn.IFS(Dashboard!$C$40="Straight-line",'Consumption Forecasts'!AK21,
Dashboard!$C$40="S-curve", $AA21+($AU21-$AA21)*BM$3,
Dashboard!$C$40= "Logarithmic", $AA21+($AU21-$AA21)*BM$7)</f>
        <v>1966.4553115373715</v>
      </c>
      <c r="AL7" s="2" cm="1">
        <f t="array" ref="AL7">_xlfn.IFS(Dashboard!$C$40="Straight-line",'Consumption Forecasts'!AL21,
Dashboard!$C$40="S-curve", $AA21+($AU21-$AA21)*BN$3,
Dashboard!$C$40= "Logarithmic", $AA21+($AU21-$AA21)*BN$7)</f>
        <v>1970.5641951285215</v>
      </c>
      <c r="AM7" s="2" cm="1">
        <f t="array" ref="AM7">_xlfn.IFS(Dashboard!$C$40="Straight-line",'Consumption Forecasts'!AM21,
Dashboard!$C$40="S-curve", $AA21+($AU21-$AA21)*BO$3,
Dashboard!$C$40= "Logarithmic", $AA21+($AU21-$AA21)*BO$7)</f>
        <v>1974.3440016265868</v>
      </c>
      <c r="AN7" s="2" cm="1">
        <f t="array" ref="AN7">_xlfn.IFS(Dashboard!$C$40="Straight-line",'Consumption Forecasts'!AN21,
Dashboard!$C$40="S-curve", $AA21+($AU21-$AA21)*BP$3,
Dashboard!$C$40= "Logarithmic", $AA21+($AU21-$AA21)*BP$7)</f>
        <v>1977.8435558376657</v>
      </c>
      <c r="AO7" s="2" cm="1">
        <f t="array" ref="AO7">_xlfn.IFS(Dashboard!$C$40="Straight-line",'Consumption Forecasts'!AO21,
Dashboard!$C$40="S-curve", $AA21+($AU21-$AA21)*BQ$3,
Dashboard!$C$40= "Logarithmic", $AA21+($AU21-$AA21)*BQ$7)</f>
        <v>1981.1015628634923</v>
      </c>
      <c r="AP7" s="2" cm="1">
        <f t="array" ref="AP7">_xlfn.IFS(Dashboard!$C$40="Straight-line",'Consumption Forecasts'!AP21,
Dashboard!$C$40="S-curve", $AA21+($AU21-$AA21)*BR$3,
Dashboard!$C$40= "Logarithmic", $AA21+($AU21-$AA21)*BR$7)</f>
        <v>1984.1492249011917</v>
      </c>
      <c r="AQ7" s="2" cm="1">
        <f t="array" ref="AQ7">_xlfn.IFS(Dashboard!$C$40="Straight-line",'Consumption Forecasts'!AQ21,
Dashboard!$C$40="S-curve", $AA21+($AU21-$AA21)*BS$3,
Dashboard!$C$40= "Logarithmic", $AA21+($AU21-$AA21)*BS$7)</f>
        <v>1987.0120633301356</v>
      </c>
      <c r="AR7" s="2" cm="1">
        <f t="array" ref="AR7">_xlfn.IFS(Dashboard!$C$40="Straight-line",'Consumption Forecasts'!AR21,
Dashboard!$C$40="S-curve", $AA21+($AU21-$AA21)*BT$3,
Dashboard!$C$40= "Logarithmic", $AA21+($AU21-$AA21)*BT$7)</f>
        <v>1989.7112191974322</v>
      </c>
      <c r="AS7" s="2" cm="1">
        <f t="array" ref="AS7">_xlfn.IFS(Dashboard!$C$40="Straight-line",'Consumption Forecasts'!AS21,
Dashboard!$C$40="S-curve", $AA21+($AU21-$AA21)*BU$3,
Dashboard!$C$40= "Logarithmic", $AA21+($AU21-$AA21)*BU$7)</f>
        <v>1992.2644016200366</v>
      </c>
      <c r="AT7" s="2" cm="1">
        <f t="array" ref="AT7">_xlfn.IFS(Dashboard!$C$40="Straight-line",'Consumption Forecasts'!AT21,
Dashboard!$C$40="S-curve", $AA21+($AU21-$AA21)*BV$3,
Dashboard!$C$40= "Logarithmic", $AA21+($AU21-$AA21)*BV$7)</f>
        <v>1994.6865926361625</v>
      </c>
      <c r="AU7" s="2" cm="1">
        <f t="array" ref="AU7">_xlfn.IFS(Dashboard!$C$40="Straight-line",'Consumption Forecasts'!AU21,
Dashboard!$C$40="S-curve", $AA21+($AU21-$AA21)*BW$3,
Dashboard!$C$40= "Logarithmic", $AA21+($AU21-$AA21)*BW$7)</f>
        <v>1996.9905799065764</v>
      </c>
      <c r="BB7" s="345" t="s">
        <v>913</v>
      </c>
      <c r="BC7" s="291">
        <f>BC5/$BW$5</f>
        <v>0</v>
      </c>
      <c r="BD7" s="291">
        <f t="shared" ref="BD7:BW7" si="3">BD5/$BW$5</f>
        <v>0.22767024869695299</v>
      </c>
      <c r="BE7" s="291">
        <f t="shared" si="3"/>
        <v>0.36084880671453018</v>
      </c>
      <c r="BF7" s="291">
        <f t="shared" si="3"/>
        <v>0.45534049739390597</v>
      </c>
      <c r="BG7" s="291">
        <f t="shared" si="3"/>
        <v>0.52863394681944809</v>
      </c>
      <c r="BH7" s="291">
        <f t="shared" si="3"/>
        <v>0.58851905541148319</v>
      </c>
      <c r="BI7" s="291">
        <f t="shared" si="3"/>
        <v>0.63915119328546977</v>
      </c>
      <c r="BJ7" s="291">
        <f t="shared" si="3"/>
        <v>0.68301074609085899</v>
      </c>
      <c r="BK7" s="291">
        <f t="shared" si="3"/>
        <v>0.72169761342906036</v>
      </c>
      <c r="BL7" s="291">
        <f t="shared" si="3"/>
        <v>0.75630419551640105</v>
      </c>
      <c r="BM7" s="291">
        <f t="shared" si="3"/>
        <v>0.7876096569652562</v>
      </c>
      <c r="BN7" s="291">
        <f t="shared" si="3"/>
        <v>0.81618930410843615</v>
      </c>
      <c r="BO7" s="291">
        <f t="shared" si="3"/>
        <v>0.84248003091726509</v>
      </c>
      <c r="BP7" s="291">
        <f t="shared" si="3"/>
        <v>0.86682144198242272</v>
      </c>
      <c r="BQ7" s="291">
        <f t="shared" si="3"/>
        <v>0.88948275353397832</v>
      </c>
      <c r="BR7" s="291">
        <f t="shared" si="3"/>
        <v>0.91068099478781195</v>
      </c>
      <c r="BS7" s="291">
        <f t="shared" si="3"/>
        <v>0.93059368160701883</v>
      </c>
      <c r="BT7" s="291">
        <f t="shared" si="3"/>
        <v>0.94936786212601332</v>
      </c>
      <c r="BU7" s="291">
        <f t="shared" si="3"/>
        <v>0.96712671343233014</v>
      </c>
      <c r="BV7" s="291">
        <f t="shared" si="3"/>
        <v>0.98397444421335412</v>
      </c>
      <c r="BW7" s="291">
        <f t="shared" si="3"/>
        <v>1</v>
      </c>
    </row>
    <row r="8" spans="1:75" x14ac:dyDescent="0.3">
      <c r="A8" s="257" t="s">
        <v>1071</v>
      </c>
      <c r="B8" s="251"/>
      <c r="C8" s="262">
        <f>(C7-B7)/B7</f>
        <v>5.4471626316045157E-2</v>
      </c>
      <c r="D8" s="262">
        <f t="shared" ref="D8:V8" si="4">(D7-C7)/C7</f>
        <v>5.7183502076843071E-2</v>
      </c>
      <c r="E8" s="262">
        <f t="shared" si="4"/>
        <v>5.3005748192929525E-2</v>
      </c>
      <c r="F8" s="262">
        <f t="shared" si="4"/>
        <v>4.3556570830522029E-2</v>
      </c>
      <c r="G8" s="262">
        <f t="shared" si="4"/>
        <v>3.3275464790522576E-2</v>
      </c>
      <c r="H8" s="262">
        <f t="shared" si="4"/>
        <v>2.558202420390103E-2</v>
      </c>
      <c r="I8" s="262">
        <f t="shared" si="4"/>
        <v>1.2904445247954794E-2</v>
      </c>
      <c r="J8" s="262">
        <f t="shared" si="4"/>
        <v>3.9624730438390923E-3</v>
      </c>
      <c r="K8" s="262">
        <f t="shared" si="4"/>
        <v>-1.8442066129699348E-2</v>
      </c>
      <c r="L8" s="262">
        <f t="shared" si="4"/>
        <v>-1.5582946256556438E-2</v>
      </c>
      <c r="M8" s="262">
        <f t="shared" si="4"/>
        <v>-1.0349984379645464E-2</v>
      </c>
      <c r="N8" s="262">
        <f t="shared" si="4"/>
        <v>-8.3050100496403507E-3</v>
      </c>
      <c r="O8" s="262">
        <f t="shared" si="4"/>
        <v>-6.1418279119772315E-3</v>
      </c>
      <c r="P8" s="262">
        <f t="shared" si="4"/>
        <v>-3.0640587697624011E-3</v>
      </c>
      <c r="Q8" s="262">
        <f t="shared" si="4"/>
        <v>-1.9507714742278301E-4</v>
      </c>
      <c r="R8" s="262">
        <f t="shared" si="4"/>
        <v>2.4849852260621255E-3</v>
      </c>
      <c r="S8" s="262">
        <f t="shared" si="4"/>
        <v>5.0110275529140803E-3</v>
      </c>
      <c r="T8" s="262">
        <f t="shared" si="4"/>
        <v>6.9794637834989437E-3</v>
      </c>
      <c r="U8" s="262">
        <f t="shared" si="4"/>
        <v>9.9505841604495392E-3</v>
      </c>
      <c r="V8" s="258">
        <f t="shared" si="4"/>
        <v>1.2935048936035028E-2</v>
      </c>
      <c r="Y8" s="538"/>
      <c r="Z8" s="3"/>
      <c r="AA8" s="2"/>
      <c r="AB8" s="2"/>
      <c r="AC8" s="2"/>
      <c r="AD8" s="2"/>
      <c r="AE8" s="2"/>
      <c r="AF8" s="2"/>
      <c r="AG8" s="2"/>
      <c r="AH8" s="2"/>
      <c r="AI8" s="2"/>
      <c r="AJ8" s="2"/>
      <c r="AK8" s="2"/>
      <c r="AL8" s="2"/>
      <c r="AM8" s="2"/>
      <c r="AN8" s="2"/>
      <c r="AO8" s="2"/>
      <c r="AP8" s="2"/>
      <c r="AQ8" s="2"/>
      <c r="AR8" s="2"/>
      <c r="AS8" s="2"/>
      <c r="AT8" s="2"/>
      <c r="AU8" s="2"/>
      <c r="BC8" s="9"/>
      <c r="BD8" s="9"/>
      <c r="BE8" s="9"/>
      <c r="BF8" s="9"/>
      <c r="BG8" s="9"/>
      <c r="BH8" s="9"/>
      <c r="BI8" s="9"/>
      <c r="BJ8" s="9"/>
      <c r="BK8" s="9"/>
      <c r="BL8" s="9"/>
      <c r="BM8" s="9"/>
      <c r="BN8" s="9"/>
      <c r="BO8" s="9"/>
      <c r="BP8" s="9"/>
      <c r="BQ8" s="9"/>
      <c r="BR8" s="9"/>
      <c r="BS8" s="9"/>
      <c r="BT8" s="9"/>
      <c r="BU8" s="9"/>
      <c r="BV8" s="9"/>
      <c r="BW8" s="9"/>
    </row>
    <row r="9" spans="1:75" x14ac:dyDescent="0.3">
      <c r="A9" s="245" t="s">
        <v>6</v>
      </c>
      <c r="B9" s="251">
        <f>IF(Dashboard!$C$10="Medium Demand", 'Consumption Forecasts'!B31, IF(Dashboard!$C$10="High Demand", 'Consumption Forecasts'!B22, IF(Dashboard!$C$10="Low Demand", 'Consumption Forecasts'!B40,0)))</f>
        <v>377.58416084422981</v>
      </c>
      <c r="C9" s="251">
        <f>IF(Dashboard!$C$10="Medium Demand", 'Consumption Forecasts'!C31, IF(Dashboard!$C$10="High Demand", 'Consumption Forecasts'!C22, IF(Dashboard!$C$10="Low Demand", 'Consumption Forecasts'!C40,0)))</f>
        <v>378.9010038660831</v>
      </c>
      <c r="D9" s="251">
        <f>IF(Dashboard!$C$10="Medium Demand", 'Consumption Forecasts'!D31, IF(Dashboard!$C$10="High Demand", 'Consumption Forecasts'!D22, IF(Dashboard!$C$10="Low Demand", 'Consumption Forecasts'!D40,0)))</f>
        <v>380.01209016577189</v>
      </c>
      <c r="E9" s="251">
        <f>IF(Dashboard!$C$10="Medium Demand", 'Consumption Forecasts'!E31, IF(Dashboard!$C$10="High Demand", 'Consumption Forecasts'!E22, IF(Dashboard!$C$10="Low Demand", 'Consumption Forecasts'!E40,0)))</f>
        <v>381.57584125422278</v>
      </c>
      <c r="F9" s="251">
        <f>IF(Dashboard!$C$10="Medium Demand", 'Consumption Forecasts'!F31, IF(Dashboard!$C$10="High Demand", 'Consumption Forecasts'!F22, IF(Dashboard!$C$10="Low Demand", 'Consumption Forecasts'!F40,0)))</f>
        <v>382.97498696494199</v>
      </c>
      <c r="G9" s="251">
        <f>IF(Dashboard!$C$10="Medium Demand", 'Consumption Forecasts'!G31, IF(Dashboard!$C$10="High Demand", 'Consumption Forecasts'!G22, IF(Dashboard!$C$10="Low Demand", 'Consumption Forecasts'!G40,0)))</f>
        <v>384.04492192019785</v>
      </c>
      <c r="H9" s="251">
        <f>IF(Dashboard!$C$10="Medium Demand", 'Consumption Forecasts'!H31, IF(Dashboard!$C$10="High Demand", 'Consumption Forecasts'!H22, IF(Dashboard!$C$10="Low Demand", 'Consumption Forecasts'!H40,0)))</f>
        <v>384.53873805339276</v>
      </c>
      <c r="I9" s="251">
        <f>IF(Dashboard!$C$10="Medium Demand", 'Consumption Forecasts'!I31, IF(Dashboard!$C$10="High Demand", 'Consumption Forecasts'!I22, IF(Dashboard!$C$10="Low Demand", 'Consumption Forecasts'!I40,0)))</f>
        <v>384.55931372560917</v>
      </c>
      <c r="J9" s="251">
        <f>IF(Dashboard!$C$10="Medium Demand", 'Consumption Forecasts'!J31, IF(Dashboard!$C$10="High Demand", 'Consumption Forecasts'!J22, IF(Dashboard!$C$10="Low Demand", 'Consumption Forecasts'!J40,0)))</f>
        <v>383.57168145921929</v>
      </c>
      <c r="K9" s="251">
        <f>IF(Dashboard!$C$10="Medium Demand", 'Consumption Forecasts'!K31, IF(Dashboard!$C$10="High Demand", 'Consumption Forecasts'!K22, IF(Dashboard!$C$10="Low Demand", 'Consumption Forecasts'!K40,0)))</f>
        <v>381.987354698552</v>
      </c>
      <c r="L9" s="251">
        <f>IF(Dashboard!$C$10="Medium Demand", 'Consumption Forecasts'!L31, IF(Dashboard!$C$10="High Demand", 'Consumption Forecasts'!L22, IF(Dashboard!$C$10="Low Demand", 'Consumption Forecasts'!L40,0)))</f>
        <v>378.53064176618687</v>
      </c>
      <c r="M9" s="251">
        <f>IF(Dashboard!$C$10="Medium Demand", 'Consumption Forecasts'!M31, IF(Dashboard!$C$10="High Demand", 'Consumption Forecasts'!M22, IF(Dashboard!$C$10="Low Demand", 'Consumption Forecasts'!M40,0)))</f>
        <v>375.73235034474862</v>
      </c>
      <c r="N9" s="251">
        <f>IF(Dashboard!$C$10="Medium Demand", 'Consumption Forecasts'!N31, IF(Dashboard!$C$10="High Demand", 'Consumption Forecasts'!N22, IF(Dashboard!$C$10="Low Demand", 'Consumption Forecasts'!N40,0)))</f>
        <v>373.32499669542284</v>
      </c>
      <c r="O9" s="251">
        <f>IF(Dashboard!$C$10="Medium Demand", 'Consumption Forecasts'!O31, IF(Dashboard!$C$10="High Demand", 'Consumption Forecasts'!O22, IF(Dashboard!$C$10="Low Demand", 'Consumption Forecasts'!O40,0)))</f>
        <v>371.06167275161249</v>
      </c>
      <c r="P9" s="251">
        <f>IF(Dashboard!$C$10="Medium Demand", 'Consumption Forecasts'!P31, IF(Dashboard!$C$10="High Demand", 'Consumption Forecasts'!P22, IF(Dashboard!$C$10="Low Demand", 'Consumption Forecasts'!P40,0)))</f>
        <v>369.02468120218316</v>
      </c>
      <c r="Q9" s="251">
        <f>IF(Dashboard!$C$10="Medium Demand", 'Consumption Forecasts'!Q31, IF(Dashboard!$C$10="High Demand", 'Consumption Forecasts'!Q22, IF(Dashboard!$C$10="Low Demand", 'Consumption Forecasts'!Q40,0)))</f>
        <v>367.23459771935114</v>
      </c>
      <c r="R9" s="251">
        <f>IF(Dashboard!$C$10="Medium Demand", 'Consumption Forecasts'!R31, IF(Dashboard!$C$10="High Demand", 'Consumption Forecasts'!R22, IF(Dashboard!$C$10="Low Demand", 'Consumption Forecasts'!R40,0)))</f>
        <v>365.67084663090031</v>
      </c>
      <c r="S9" s="251">
        <f>IF(Dashboard!$C$10="Medium Demand", 'Consumption Forecasts'!S31, IF(Dashboard!$C$10="High Demand", 'Consumption Forecasts'!S22, IF(Dashboard!$C$10="Low Demand", 'Consumption Forecasts'!S40,0)))</f>
        <v>364.35400360904697</v>
      </c>
      <c r="T9" s="251">
        <f>IF(Dashboard!$C$10="Medium Demand", 'Consumption Forecasts'!T31, IF(Dashboard!$C$10="High Demand", 'Consumption Forecasts'!T22, IF(Dashboard!$C$10="Low Demand", 'Consumption Forecasts'!T40,0)))</f>
        <v>363.24291730935818</v>
      </c>
      <c r="U9" s="251">
        <f>IF(Dashboard!$C$10="Medium Demand", 'Consumption Forecasts'!U31, IF(Dashboard!$C$10="High Demand", 'Consumption Forecasts'!U22, IF(Dashboard!$C$10="Low Demand", 'Consumption Forecasts'!U40,0)))</f>
        <v>362.27058711461586</v>
      </c>
      <c r="V9" s="251">
        <f>IF(Dashboard!$C$10="Medium Demand", 'Consumption Forecasts'!V31, IF(Dashboard!$C$10="High Demand", 'Consumption Forecasts'!V22, IF(Dashboard!$C$10="Low Demand", 'Consumption Forecasts'!V40,0)))</f>
        <v>361.79111721010747</v>
      </c>
      <c r="Y9" s="538"/>
      <c r="Z9" s="3" t="s">
        <v>6</v>
      </c>
      <c r="AA9" s="2" cm="1">
        <f t="array" ref="AA9">_xlfn.IFS(Dashboard!$C$40="Straight-line",'Consumption Forecasts'!AA22, Dashboard!$C$40="S-curve", 'Consumption Forecasts'!AA22, Dashboard!$C$40= "Logarithmic", 'Consumption Forecasts'!AA22)</f>
        <v>377.58416084422981</v>
      </c>
      <c r="AB9" s="2" cm="1">
        <f t="array" ref="AB9">_xlfn.IFS(Dashboard!$C$40="Straight-line",'Consumption Forecasts'!AB22,
Dashboard!$C$40="S-curve", $AA22+($AU22-$AA22)*BD$3,
Dashboard!$C$40= "Logarithmic", $AA22+($AU22-$AA22)*BD$7)</f>
        <v>317.09824933480854</v>
      </c>
      <c r="AC9" s="2" cm="1">
        <f t="array" ref="AC9">_xlfn.IFS(Dashboard!$C$40="Straight-line",'Consumption Forecasts'!AC22,
Dashboard!$C$40="S-curve", $AA22+($AU22-$AA22)*BE$3,
Dashboard!$C$40= "Logarithmic", $AA22+($AU22-$AA22)*BE$7)</f>
        <v>281.71625927985895</v>
      </c>
      <c r="AD9" s="2" cm="1">
        <f t="array" ref="AD9">_xlfn.IFS(Dashboard!$C$40="Straight-line",'Consumption Forecasts'!AD22,
Dashboard!$C$40="S-curve", $AA22+($AU22-$AA22)*BF$3,
Dashboard!$C$40= "Logarithmic", $AA22+($AU22-$AA22)*BF$7)</f>
        <v>256.61233782538727</v>
      </c>
      <c r="AE9" s="2" cm="1">
        <f t="array" ref="AE9">_xlfn.IFS(Dashboard!$C$40="Straight-line",'Consumption Forecasts'!AE22,
Dashboard!$C$40="S-curve", $AA22+($AU22-$AA22)*BG$3,
Dashboard!$C$40= "Logarithmic", $AA22+($AU22-$AA22)*BG$7)</f>
        <v>237.14022356563373</v>
      </c>
      <c r="AF9" s="2" cm="1">
        <f t="array" ref="AF9">_xlfn.IFS(Dashboard!$C$40="Straight-line",'Consumption Forecasts'!AF22,
Dashboard!$C$40="S-curve", $AA22+($AU22-$AA22)*BH$3,
Dashboard!$C$40= "Logarithmic", $AA22+($AU22-$AA22)*BH$7)</f>
        <v>221.23034777043767</v>
      </c>
      <c r="AG9" s="2" cm="1">
        <f t="array" ref="AG9">_xlfn.IFS(Dashboard!$C$40="Straight-line",'Consumption Forecasts'!AG22,
Dashboard!$C$40="S-curve", $AA22+($AU22-$AA22)*BI$3,
Dashboard!$C$40= "Logarithmic", $AA22+($AU22-$AA22)*BI$7)</f>
        <v>207.77873945311538</v>
      </c>
      <c r="AH9" s="2" cm="1">
        <f t="array" ref="AH9">_xlfn.IFS(Dashboard!$C$40="Straight-line",'Consumption Forecasts'!AH22,
Dashboard!$C$40="S-curve", $AA22+($AU22-$AA22)*BJ$3,
Dashboard!$C$40= "Logarithmic", $AA22+($AU22-$AA22)*BJ$7)</f>
        <v>196.12642631596603</v>
      </c>
      <c r="AI9" s="2" cm="1">
        <f t="array" ref="AI9">_xlfn.IFS(Dashboard!$C$40="Straight-line",'Consumption Forecasts'!AI22,
Dashboard!$C$40="S-curve", $AA22+($AU22-$AA22)*BK$3,
Dashboard!$C$40= "Logarithmic", $AA22+($AU22-$AA22)*BK$7)</f>
        <v>185.84835771548805</v>
      </c>
      <c r="AJ9" s="2" cm="1">
        <f t="array" ref="AJ9">_xlfn.IFS(Dashboard!$C$40="Straight-line",'Consumption Forecasts'!AJ22,
Dashboard!$C$40="S-curve", $AA22+($AU22-$AA22)*BL$3,
Dashboard!$C$40= "Logarithmic", $AA22+($AU22-$AA22)*BL$7)</f>
        <v>176.65431205621249</v>
      </c>
      <c r="AK9" s="2" cm="1">
        <f t="array" ref="AK9">_xlfn.IFS(Dashboard!$C$40="Straight-line",'Consumption Forecasts'!AK22,
Dashboard!$C$40="S-curve", $AA22+($AU22-$AA22)*BM$3,
Dashboard!$C$40= "Logarithmic", $AA22+($AU22-$AA22)*BM$7)</f>
        <v>168.33728608644029</v>
      </c>
      <c r="AL9" s="2" cm="1">
        <f t="array" ref="AL9">_xlfn.IFS(Dashboard!$C$40="Straight-line",'Consumption Forecasts'!AL22,
Dashboard!$C$40="S-curve", $AA22+($AU22-$AA22)*BN$3,
Dashboard!$C$40= "Logarithmic", $AA22+($AU22-$AA22)*BN$7)</f>
        <v>160.74443626101643</v>
      </c>
      <c r="AM9" s="2" cm="1">
        <f t="array" ref="AM9">_xlfn.IFS(Dashboard!$C$40="Straight-line",'Consumption Forecasts'!AM22,
Dashboard!$C$40="S-curve", $AA22+($AU22-$AA22)*BO$3,
Dashboard!$C$40= "Logarithmic", $AA22+($AU22-$AA22)*BO$7)</f>
        <v>153.75969150679998</v>
      </c>
      <c r="AN9" s="2" cm="1">
        <f t="array" ref="AN9">_xlfn.IFS(Dashboard!$C$40="Straight-line",'Consumption Forecasts'!AN22,
Dashboard!$C$40="S-curve", $AA22+($AU22-$AA22)*BP$3,
Dashboard!$C$40= "Logarithmic", $AA22+($AU22-$AA22)*BP$7)</f>
        <v>147.29282794369414</v>
      </c>
      <c r="AO9" s="2" cm="1">
        <f t="array" ref="AO9">_xlfn.IFS(Dashboard!$C$40="Straight-line",'Consumption Forecasts'!AO22,
Dashboard!$C$40="S-curve", $AA22+($AU22-$AA22)*BQ$3,
Dashboard!$C$40= "Logarithmic", $AA22+($AU22-$AA22)*BQ$7)</f>
        <v>141.27232200126284</v>
      </c>
      <c r="AP9" s="2" cm="1">
        <f t="array" ref="AP9">_xlfn.IFS(Dashboard!$C$40="Straight-line",'Consumption Forecasts'!AP22,
Dashboard!$C$40="S-curve", $AA22+($AU22-$AA22)*BR$3,
Dashboard!$C$40= "Logarithmic", $AA22+($AU22-$AA22)*BR$7)</f>
        <v>135.64051480654479</v>
      </c>
      <c r="AQ9" s="2" cm="1">
        <f t="array" ref="AQ9">_xlfn.IFS(Dashboard!$C$40="Straight-line",'Consumption Forecasts'!AQ22,
Dashboard!$C$40="S-curve", $AA22+($AU22-$AA22)*BS$3,
Dashboard!$C$40= "Logarithmic", $AA22+($AU22-$AA22)*BS$7)</f>
        <v>130.35024513031422</v>
      </c>
      <c r="AR9" s="2" cm="1">
        <f t="array" ref="AR9">_xlfn.IFS(Dashboard!$C$40="Straight-line",'Consumption Forecasts'!AR22,
Dashboard!$C$40="S-curve", $AA22+($AU22-$AA22)*BT$3,
Dashboard!$C$40= "Logarithmic", $AA22+($AU22-$AA22)*BT$7)</f>
        <v>125.36244620606681</v>
      </c>
      <c r="AS9" s="2" cm="1">
        <f t="array" ref="AS9">_xlfn.IFS(Dashboard!$C$40="Straight-line",'Consumption Forecasts'!AS22,
Dashboard!$C$40="S-curve", $AA22+($AU22-$AA22)*BU$3,
Dashboard!$C$40= "Logarithmic", $AA22+($AU22-$AA22)*BU$7)</f>
        <v>120.64439316764526</v>
      </c>
      <c r="AT9" s="2" cm="1">
        <f t="array" ref="AT9">_xlfn.IFS(Dashboard!$C$40="Straight-line",'Consumption Forecasts'!AT22,
Dashboard!$C$40="S-curve", $AA22+($AU22-$AA22)*BV$3,
Dashboard!$C$40= "Logarithmic", $AA22+($AU22-$AA22)*BV$7)</f>
        <v>116.16840054679119</v>
      </c>
      <c r="AU9" s="2" cm="1">
        <f t="array" ref="AU9">_xlfn.IFS(Dashboard!$C$40="Straight-line",'Consumption Forecasts'!AU22,
Dashboard!$C$40="S-curve", $AA22+($AU22-$AA22)*BW$3,
Dashboard!$C$40= "Logarithmic", $AA22+($AU22-$AA22)*BW$7)</f>
        <v>111.91083788874448</v>
      </c>
    </row>
    <row r="10" spans="1:75" x14ac:dyDescent="0.3">
      <c r="A10" s="257" t="s">
        <v>1072</v>
      </c>
      <c r="B10" s="251"/>
      <c r="C10" s="262">
        <f>(C9-B9)/B9</f>
        <v>3.4875483624869099E-3</v>
      </c>
      <c r="D10" s="262">
        <f>(D9-C9)/C9</f>
        <v>2.9323920716807866E-3</v>
      </c>
      <c r="E10" s="262">
        <f t="shared" ref="E10:U10" si="5">(E9-D9)/D9</f>
        <v>4.1150035194110106E-3</v>
      </c>
      <c r="F10" s="262">
        <f t="shared" si="5"/>
        <v>3.6667565381505308E-3</v>
      </c>
      <c r="G10" s="262">
        <f t="shared" si="5"/>
        <v>2.7937463063450753E-3</v>
      </c>
      <c r="H10" s="262">
        <f>(H9-G9)/G9</f>
        <v>1.285829091882964E-3</v>
      </c>
      <c r="I10" s="262">
        <f t="shared" si="5"/>
        <v>5.3507410776265536E-5</v>
      </c>
      <c r="J10" s="262">
        <f t="shared" si="5"/>
        <v>-2.5682182985550467E-3</v>
      </c>
      <c r="K10" s="262">
        <f t="shared" si="5"/>
        <v>-4.1304581053534795E-3</v>
      </c>
      <c r="L10" s="262">
        <f t="shared" si="5"/>
        <v>-9.0492862914088104E-3</v>
      </c>
      <c r="M10" s="262">
        <f t="shared" si="5"/>
        <v>-7.3925096483119486E-3</v>
      </c>
      <c r="N10" s="262">
        <f t="shared" si="5"/>
        <v>-6.4070970921640017E-3</v>
      </c>
      <c r="O10" s="262">
        <f t="shared" si="5"/>
        <v>-6.0626102292766675E-3</v>
      </c>
      <c r="P10" s="262">
        <f t="shared" si="5"/>
        <v>-5.4896306975710926E-3</v>
      </c>
      <c r="Q10" s="262">
        <f t="shared" si="5"/>
        <v>-4.850850292724071E-3</v>
      </c>
      <c r="R10" s="262">
        <f t="shared" si="5"/>
        <v>-4.2581801882563422E-3</v>
      </c>
      <c r="S10" s="262">
        <f t="shared" si="5"/>
        <v>-3.601170380373624E-3</v>
      </c>
      <c r="T10" s="262">
        <f t="shared" si="5"/>
        <v>-3.0494691664785228E-3</v>
      </c>
      <c r="U10" s="262">
        <f t="shared" si="5"/>
        <v>-2.6768042772716228E-3</v>
      </c>
      <c r="V10" s="262">
        <f>(V9-U9)/U9</f>
        <v>-1.3235132013538159E-3</v>
      </c>
      <c r="Y10" s="538"/>
      <c r="Z10" s="3"/>
      <c r="AA10" s="2"/>
      <c r="AB10" s="2"/>
      <c r="AC10" s="2"/>
      <c r="AD10" s="2"/>
      <c r="AE10" s="2"/>
      <c r="AF10" s="2"/>
      <c r="AG10" s="2"/>
      <c r="AH10" s="2"/>
      <c r="AI10" s="2"/>
      <c r="AJ10" s="2"/>
      <c r="AK10" s="2"/>
      <c r="AL10" s="2"/>
      <c r="AM10" s="2"/>
      <c r="AN10" s="2"/>
      <c r="AO10" s="2"/>
      <c r="AP10" s="2"/>
      <c r="AQ10" s="2"/>
      <c r="AR10" s="2"/>
      <c r="AS10" s="2"/>
      <c r="AT10" s="2"/>
      <c r="AU10" s="2"/>
    </row>
    <row r="11" spans="1:75" x14ac:dyDescent="0.3">
      <c r="A11" s="245" t="s">
        <v>8</v>
      </c>
      <c r="B11" s="251">
        <f>IF(Dashboard!$C$10="Medium Demand", 'Consumption Forecasts'!B32, IF(Dashboard!$C$10="High Demand", 'Consumption Forecasts'!B23, IF(Dashboard!$C$10="Low Demand", 'Consumption Forecasts'!B41,0)))</f>
        <v>74.150082849993936</v>
      </c>
      <c r="C11" s="251">
        <f>IF(Dashboard!$C$10="Medium Demand", 'Consumption Forecasts'!C32, IF(Dashboard!$C$10="High Demand", 'Consumption Forecasts'!C23, IF(Dashboard!$C$10="Low Demand", 'Consumption Forecasts'!C41,0)))</f>
        <v>74.408684850015717</v>
      </c>
      <c r="D11" s="251">
        <f>IF(Dashboard!$C$10="Medium Demand", 'Consumption Forecasts'!D32, IF(Dashboard!$C$10="High Demand", 'Consumption Forecasts'!D23, IF(Dashboard!$C$10="Low Demand", 'Consumption Forecasts'!D41,0)))</f>
        <v>74.626880287534078</v>
      </c>
      <c r="E11" s="251">
        <f>IF(Dashboard!$C$10="Medium Demand", 'Consumption Forecasts'!E32, IF(Dashboard!$C$10="High Demand", 'Consumption Forecasts'!E23, IF(Dashboard!$C$10="Low Demand", 'Consumption Forecasts'!E41,0)))</f>
        <v>74.933970162559959</v>
      </c>
      <c r="F11" s="251">
        <f>IF(Dashboard!$C$10="Medium Demand", 'Consumption Forecasts'!F32, IF(Dashboard!$C$10="High Demand", 'Consumption Forecasts'!F23, IF(Dashboard!$C$10="Low Demand", 'Consumption Forecasts'!F41,0)))</f>
        <v>75.208734787583083</v>
      </c>
      <c r="G11" s="251">
        <f>IF(Dashboard!$C$10="Medium Demand", 'Consumption Forecasts'!G32, IF(Dashboard!$C$10="High Demand", 'Consumption Forecasts'!G23, IF(Dashboard!$C$10="Low Demand", 'Consumption Forecasts'!G41,0)))</f>
        <v>75.418848912600794</v>
      </c>
      <c r="H11" s="251">
        <f>IF(Dashboard!$C$10="Medium Demand", 'Consumption Forecasts'!H32, IF(Dashboard!$C$10="High Demand", 'Consumption Forecasts'!H23, IF(Dashboard!$C$10="Low Demand", 'Consumption Forecasts'!H41,0)))</f>
        <v>75.515824662608935</v>
      </c>
      <c r="I11" s="251">
        <f>IF(Dashboard!$C$10="Medium Demand", 'Consumption Forecasts'!I32, IF(Dashboard!$C$10="High Demand", 'Consumption Forecasts'!I23, IF(Dashboard!$C$10="Low Demand", 'Consumption Forecasts'!I41,0)))</f>
        <v>75.519865318859274</v>
      </c>
      <c r="J11" s="251">
        <f>IF(Dashboard!$C$10="Medium Demand", 'Consumption Forecasts'!J32, IF(Dashboard!$C$10="High Demand", 'Consumption Forecasts'!J23, IF(Dashboard!$C$10="Low Demand", 'Consumption Forecasts'!J41,0)))</f>
        <v>75.325913818842977</v>
      </c>
      <c r="K11" s="251">
        <f>IF(Dashboard!$C$10="Medium Demand", 'Consumption Forecasts'!K32, IF(Dashboard!$C$10="High Demand", 'Consumption Forecasts'!K23, IF(Dashboard!$C$10="Low Demand", 'Consumption Forecasts'!K41,0)))</f>
        <v>75.014783287566743</v>
      </c>
      <c r="L11" s="251">
        <f>IF(Dashboard!$C$10="Medium Demand", 'Consumption Forecasts'!L32, IF(Dashboard!$C$10="High Demand", 'Consumption Forecasts'!L23, IF(Dashboard!$C$10="Low Demand", 'Consumption Forecasts'!L41,0)))</f>
        <v>74.335953037509597</v>
      </c>
      <c r="M11" s="251">
        <f>IF(Dashboard!$C$10="Medium Demand", 'Consumption Forecasts'!M32, IF(Dashboard!$C$10="High Demand", 'Consumption Forecasts'!M23, IF(Dashboard!$C$10="Low Demand", 'Consumption Forecasts'!M41,0)))</f>
        <v>73.786423787463349</v>
      </c>
      <c r="N11" s="251">
        <f>IF(Dashboard!$C$10="Medium Demand", 'Consumption Forecasts'!N32, IF(Dashboard!$C$10="High Demand", 'Consumption Forecasts'!N23, IF(Dashboard!$C$10="Low Demand", 'Consumption Forecasts'!N41,0)))</f>
        <v>73.313667006173503</v>
      </c>
      <c r="O11" s="251">
        <f>IF(Dashboard!$C$10="Medium Demand", 'Consumption Forecasts'!O32, IF(Dashboard!$C$10="High Demand", 'Consumption Forecasts'!O23, IF(Dashboard!$C$10="Low Demand", 'Consumption Forecasts'!O41,0)))</f>
        <v>72.869194818636089</v>
      </c>
      <c r="P11" s="251">
        <f>IF(Dashboard!$C$10="Medium Demand", 'Consumption Forecasts'!P32, IF(Dashboard!$C$10="High Demand", 'Consumption Forecasts'!P23, IF(Dashboard!$C$10="Low Demand", 'Consumption Forecasts'!P41,0)))</f>
        <v>72.469169849852392</v>
      </c>
      <c r="Q11" s="251">
        <f>IF(Dashboard!$C$10="Medium Demand", 'Consumption Forecasts'!Q32, IF(Dashboard!$C$10="High Demand", 'Consumption Forecasts'!Q23, IF(Dashboard!$C$10="Low Demand", 'Consumption Forecasts'!Q41,0)))</f>
        <v>72.11763275607278</v>
      </c>
      <c r="R11" s="251">
        <f>IF(Dashboard!$C$10="Medium Demand", 'Consumption Forecasts'!R32, IF(Dashboard!$C$10="High Demand", 'Consumption Forecasts'!R23, IF(Dashboard!$C$10="Low Demand", 'Consumption Forecasts'!R41,0)))</f>
        <v>71.810542881046928</v>
      </c>
      <c r="S11" s="251">
        <f>IF(Dashboard!$C$10="Medium Demand", 'Consumption Forecasts'!S32, IF(Dashboard!$C$10="High Demand", 'Consumption Forecasts'!S23, IF(Dashboard!$C$10="Low Demand", 'Consumption Forecasts'!S41,0)))</f>
        <v>71.551940881025175</v>
      </c>
      <c r="T11" s="251">
        <f>IF(Dashboard!$C$10="Medium Demand", 'Consumption Forecasts'!T32, IF(Dashboard!$C$10="High Demand", 'Consumption Forecasts'!T23, IF(Dashboard!$C$10="Low Demand", 'Consumption Forecasts'!T41,0)))</f>
        <v>71.3337454435068</v>
      </c>
      <c r="U11" s="251">
        <f>IF(Dashboard!$C$10="Medium Demand", 'Consumption Forecasts'!U32, IF(Dashboard!$C$10="High Demand", 'Consumption Forecasts'!U23, IF(Dashboard!$C$10="Low Demand", 'Consumption Forecasts'!U41,0)))</f>
        <v>71.140062401352367</v>
      </c>
      <c r="V11" s="251">
        <f>IF(Dashboard!$C$10="Medium Demand", 'Consumption Forecasts'!V32, IF(Dashboard!$C$10="High Demand", 'Consumption Forecasts'!V23, IF(Dashboard!$C$10="Low Demand", 'Consumption Forecasts'!V41,0)))</f>
        <v>71.045695080922073</v>
      </c>
      <c r="Y11" s="538"/>
      <c r="Z11" s="3" t="s">
        <v>8</v>
      </c>
      <c r="AA11" s="2" cm="1">
        <f t="array" ref="AA11">_xlfn.IFS(Dashboard!$C$40="Straight-line",'Consumption Forecasts'!AA23, Dashboard!$C$40="S-curve", 'Consumption Forecasts'!AA23, Dashboard!$C$40= "Logarithmic", 'Consumption Forecasts'!AA23)</f>
        <v>74.150082849993936</v>
      </c>
      <c r="AB11" s="2" cm="1">
        <f t="array" ref="AB11">_xlfn.IFS(Dashboard!$C$40="Straight-line",'Consumption Forecasts'!AB23,
Dashboard!$C$40="S-curve", $AA23+($AU23-$AA23)*BD$3,
Dashboard!$C$40= "Logarithmic", $AA23+($AU23-$AA23)*BD$7)</f>
        <v>73.443306114557572</v>
      </c>
      <c r="AC11" s="2" cm="1">
        <f t="array" ref="AC11">_xlfn.IFS(Dashboard!$C$40="Straight-line",'Consumption Forecasts'!AC23,
Dashboard!$C$40="S-curve", $AA23+($AU23-$AA23)*BE$3,
Dashboard!$C$40= "Logarithmic", $AA23+($AU23-$AA23)*BE$7)</f>
        <v>73.029868227945173</v>
      </c>
      <c r="AD11" s="2" cm="1">
        <f t="array" ref="AD11">_xlfn.IFS(Dashboard!$C$40="Straight-line",'Consumption Forecasts'!AD23,
Dashboard!$C$40="S-curve", $AA23+($AU23-$AA23)*BF$3,
Dashboard!$C$40= "Logarithmic", $AA23+($AU23-$AA23)*BF$7)</f>
        <v>72.736529379121194</v>
      </c>
      <c r="AE11" s="2" cm="1">
        <f t="array" ref="AE11">_xlfn.IFS(Dashboard!$C$40="Straight-line",'Consumption Forecasts'!AE23,
Dashboard!$C$40="S-curve", $AA23+($AU23-$AA23)*BG$3,
Dashboard!$C$40= "Logarithmic", $AA23+($AU23-$AA23)*BG$7)</f>
        <v>72.508998091171449</v>
      </c>
      <c r="AF11" s="2" cm="1">
        <f t="array" ref="AF11">_xlfn.IFS(Dashboard!$C$40="Straight-line",'Consumption Forecasts'!AF23,
Dashboard!$C$40="S-curve", $AA23+($AU23-$AA23)*BH$3,
Dashboard!$C$40= "Logarithmic", $AA23+($AU23-$AA23)*BH$7)</f>
        <v>72.323091492508809</v>
      </c>
      <c r="AG11" s="2" cm="1">
        <f t="array" ref="AG11">_xlfn.IFS(Dashboard!$C$40="Straight-line",'Consumption Forecasts'!AG23,
Dashboard!$C$40="S-curve", $AA23+($AU23-$AA23)*BI$3,
Dashboard!$C$40= "Logarithmic", $AA23+($AU23-$AA23)*BI$7)</f>
        <v>72.165909702970836</v>
      </c>
      <c r="AH11" s="2" cm="1">
        <f t="array" ref="AH11">_xlfn.IFS(Dashboard!$C$40="Straight-line",'Consumption Forecasts'!AH23,
Dashboard!$C$40="S-curve", $AA23+($AU23-$AA23)*BJ$3,
Dashboard!$C$40= "Logarithmic", $AA23+($AU23-$AA23)*BJ$7)</f>
        <v>72.02975264368483</v>
      </c>
      <c r="AI11" s="2" cm="1">
        <f t="array" ref="AI11">_xlfn.IFS(Dashboard!$C$40="Straight-line",'Consumption Forecasts'!AI23,
Dashboard!$C$40="S-curve", $AA23+($AU23-$AA23)*BK$3,
Dashboard!$C$40= "Logarithmic", $AA23+($AU23-$AA23)*BK$7)</f>
        <v>71.909653605896409</v>
      </c>
      <c r="AJ11" s="2" cm="1">
        <f t="array" ref="AJ11">_xlfn.IFS(Dashboard!$C$40="Straight-line",'Consumption Forecasts'!AJ23,
Dashboard!$C$40="S-curve", $AA23+($AU23-$AA23)*BL$3,
Dashboard!$C$40= "Logarithmic", $AA23+($AU23-$AA23)*BL$7)</f>
        <v>71.802221355735085</v>
      </c>
      <c r="AK11" s="2" cm="1">
        <f t="array" ref="AK11">_xlfn.IFS(Dashboard!$C$40="Straight-line",'Consumption Forecasts'!AK23,
Dashboard!$C$40="S-curve", $AA23+($AU23-$AA23)*BM$3,
Dashboard!$C$40= "Logarithmic", $AA23+($AU23-$AA23)*BM$7)</f>
        <v>71.705037064108112</v>
      </c>
      <c r="AL11" s="2" cm="1">
        <f t="array" ref="AL11">_xlfn.IFS(Dashboard!$C$40="Straight-line",'Consumption Forecasts'!AL23,
Dashboard!$C$40="S-curve", $AA23+($AU23-$AA23)*BN$3,
Dashboard!$C$40= "Logarithmic", $AA23+($AU23-$AA23)*BN$7)</f>
        <v>71.616314757072431</v>
      </c>
      <c r="AM11" s="2" cm="1">
        <f t="array" ref="AM11">_xlfn.IFS(Dashboard!$C$40="Straight-line",'Consumption Forecasts'!AM23,
Dashboard!$C$40="S-curve", $AA23+($AU23-$AA23)*BO$3,
Dashboard!$C$40= "Logarithmic", $AA23+($AU23-$AA23)*BO$7)</f>
        <v>71.534698146327088</v>
      </c>
      <c r="AN11" s="2" cm="1">
        <f t="array" ref="AN11">_xlfn.IFS(Dashboard!$C$40="Straight-line",'Consumption Forecasts'!AN23,
Dashboard!$C$40="S-curve", $AA23+($AU23-$AA23)*BP$3,
Dashboard!$C$40= "Logarithmic", $AA23+($AU23-$AA23)*BP$7)</f>
        <v>71.459132967534472</v>
      </c>
      <c r="AO11" s="2" cm="1">
        <f t="array" ref="AO11">_xlfn.IFS(Dashboard!$C$40="Straight-line",'Consumption Forecasts'!AO23,
Dashboard!$C$40="S-curve", $AA23+($AU23-$AA23)*BQ$3,
Dashboard!$C$40= "Logarithmic", $AA23+($AU23-$AA23)*BQ$7)</f>
        <v>71.388783469122686</v>
      </c>
      <c r="AP11" s="2" cm="1">
        <f t="array" ref="AP11">_xlfn.IFS(Dashboard!$C$40="Straight-line",'Consumption Forecasts'!AP23,
Dashboard!$C$40="S-curve", $AA23+($AU23-$AA23)*BR$3,
Dashboard!$C$40= "Logarithmic", $AA23+($AU23-$AA23)*BR$7)</f>
        <v>71.322975908248452</v>
      </c>
      <c r="AQ11" s="2" cm="1">
        <f t="array" ref="AQ11">_xlfn.IFS(Dashboard!$C$40="Straight-line",'Consumption Forecasts'!AQ23,
Dashboard!$C$40="S-curve", $AA23+($AU23-$AA23)*BS$3,
Dashboard!$C$40= "Logarithmic", $AA23+($AU23-$AA23)*BS$7)</f>
        <v>71.261159206837547</v>
      </c>
      <c r="AR11" s="2" cm="1">
        <f t="array" ref="AR11">_xlfn.IFS(Dashboard!$C$40="Straight-line",'Consumption Forecasts'!AR23,
Dashboard!$C$40="S-curve", $AA23+($AU23-$AA23)*BT$3,
Dashboard!$C$40= "Logarithmic", $AA23+($AU23-$AA23)*BT$7)</f>
        <v>71.202876870460031</v>
      </c>
      <c r="AS11" s="2" cm="1">
        <f t="array" ref="AS11">_xlfn.IFS(Dashboard!$C$40="Straight-line",'Consumption Forecasts'!AS23,
Dashboard!$C$40="S-curve", $AA23+($AU23-$AA23)*BU$3,
Dashboard!$C$40= "Logarithmic", $AA23+($AU23-$AA23)*BU$7)</f>
        <v>71.147746509671947</v>
      </c>
      <c r="AT11" s="2" cm="1">
        <f t="array" ref="AT11">_xlfn.IFS(Dashboard!$C$40="Straight-line",'Consumption Forecasts'!AT23,
Dashboard!$C$40="S-curve", $AA23+($AU23-$AA23)*BV$3,
Dashboard!$C$40= "Logarithmic", $AA23+($AU23-$AA23)*BV$7)</f>
        <v>71.095444620298721</v>
      </c>
      <c r="AU11" s="2" cm="1">
        <f t="array" ref="AU11">_xlfn.IFS(Dashboard!$C$40="Straight-line",'Consumption Forecasts'!AU23,
Dashboard!$C$40="S-curve", $AA23+($AU23-$AA23)*BW$3,
Dashboard!$C$40= "Logarithmic", $AA23+($AU23-$AA23)*BW$7)</f>
        <v>71.045695080922073</v>
      </c>
      <c r="AW11" s="2"/>
    </row>
    <row r="12" spans="1:75" x14ac:dyDescent="0.3">
      <c r="A12" s="257" t="s">
        <v>1073</v>
      </c>
      <c r="B12" s="251"/>
      <c r="C12" s="262">
        <f t="shared" ref="C12:I12" si="6">(C11-B11)/B11</f>
        <v>3.4875483624871311E-3</v>
      </c>
      <c r="D12" s="262">
        <f t="shared" si="6"/>
        <v>2.9323920716805237E-3</v>
      </c>
      <c r="E12" s="262">
        <f t="shared" si="6"/>
        <v>4.1150035194111936E-3</v>
      </c>
      <c r="F12" s="262">
        <f t="shared" si="6"/>
        <v>3.6667565381502724E-3</v>
      </c>
      <c r="G12" s="262">
        <f t="shared" si="6"/>
        <v>2.7937463063452636E-3</v>
      </c>
      <c r="H12" s="262">
        <f t="shared" si="6"/>
        <v>1.2858290918828772E-3</v>
      </c>
      <c r="I12" s="262">
        <f t="shared" si="6"/>
        <v>5.3507410776378957E-5</v>
      </c>
      <c r="J12" s="262">
        <f t="shared" ref="J12:V12" si="7">(J11-I11)/I11</f>
        <v>-2.568218298554914E-3</v>
      </c>
      <c r="K12" s="262">
        <f t="shared" si="7"/>
        <v>-4.1304581053539626E-3</v>
      </c>
      <c r="L12" s="262">
        <f t="shared" si="7"/>
        <v>-9.0492862914083524E-3</v>
      </c>
      <c r="M12" s="262">
        <f t="shared" si="7"/>
        <v>-7.3925096483118775E-3</v>
      </c>
      <c r="N12" s="262">
        <f t="shared" si="7"/>
        <v>-6.4070970921641171E-3</v>
      </c>
      <c r="O12" s="262">
        <f t="shared" si="7"/>
        <v>-6.0626102292767143E-3</v>
      </c>
      <c r="P12" s="262">
        <f t="shared" si="7"/>
        <v>-5.4896306975714204E-3</v>
      </c>
      <c r="Q12" s="262">
        <f t="shared" si="7"/>
        <v>-4.8508502927238663E-3</v>
      </c>
      <c r="R12" s="262">
        <f t="shared" si="7"/>
        <v>-4.2581801882562928E-3</v>
      </c>
      <c r="S12" s="262">
        <f t="shared" si="7"/>
        <v>-3.6011703803733013E-3</v>
      </c>
      <c r="T12" s="262">
        <f t="shared" si="7"/>
        <v>-3.0494691664784477E-3</v>
      </c>
      <c r="U12" s="262">
        <f t="shared" si="7"/>
        <v>-2.7151671477536722E-3</v>
      </c>
      <c r="V12" s="262">
        <f t="shared" si="7"/>
        <v>-1.3265003887387653E-3</v>
      </c>
      <c r="Y12" s="538"/>
      <c r="Z12" s="3"/>
      <c r="AA12" s="2"/>
      <c r="AB12" s="2"/>
      <c r="AC12" s="2"/>
      <c r="AD12" s="2"/>
      <c r="AE12" s="2"/>
      <c r="AF12" s="2"/>
      <c r="AG12" s="2"/>
      <c r="AH12" s="2"/>
      <c r="AI12" s="2"/>
      <c r="AJ12" s="2"/>
      <c r="AK12" s="2"/>
      <c r="AL12" s="2"/>
      <c r="AM12" s="2"/>
      <c r="AN12" s="2"/>
      <c r="AO12" s="2"/>
      <c r="AP12" s="2"/>
      <c r="AQ12" s="2"/>
      <c r="AR12" s="2"/>
      <c r="AS12" s="2"/>
      <c r="AT12" s="2"/>
      <c r="AU12" s="2"/>
      <c r="AW12" s="23"/>
    </row>
    <row r="13" spans="1:75" ht="15" thickBot="1" x14ac:dyDescent="0.35">
      <c r="A13" s="252" t="s">
        <v>16</v>
      </c>
      <c r="B13" s="253">
        <f t="shared" ref="B13:L13" si="8">SUM(B3,B5,B7,B9,B11)</f>
        <v>18351</v>
      </c>
      <c r="C13" s="253">
        <f t="shared" si="8"/>
        <v>18414.999999999996</v>
      </c>
      <c r="D13" s="253">
        <f t="shared" si="8"/>
        <v>18469</v>
      </c>
      <c r="E13" s="253">
        <f t="shared" si="8"/>
        <v>18545</v>
      </c>
      <c r="F13" s="253">
        <f t="shared" si="8"/>
        <v>18612.999999999996</v>
      </c>
      <c r="G13" s="253">
        <f t="shared" si="8"/>
        <v>18665</v>
      </c>
      <c r="H13" s="253">
        <f t="shared" si="8"/>
        <v>18689</v>
      </c>
      <c r="I13" s="253">
        <f t="shared" si="8"/>
        <v>18689.999999999996</v>
      </c>
      <c r="J13" s="253">
        <f t="shared" si="8"/>
        <v>18642</v>
      </c>
      <c r="K13" s="253">
        <f t="shared" si="8"/>
        <v>18565</v>
      </c>
      <c r="L13" s="253">
        <f t="shared" si="8"/>
        <v>18397</v>
      </c>
      <c r="M13" s="253">
        <f t="shared" ref="M13:V13" si="9">SUM(M3,M5,M7,M9,M11)</f>
        <v>18261</v>
      </c>
      <c r="N13" s="253">
        <f t="shared" si="9"/>
        <v>18143.999999999996</v>
      </c>
      <c r="O13" s="253">
        <f t="shared" si="9"/>
        <v>18034</v>
      </c>
      <c r="P13" s="253">
        <f t="shared" si="9"/>
        <v>17935.000000000004</v>
      </c>
      <c r="Q13" s="253">
        <f t="shared" si="9"/>
        <v>17848</v>
      </c>
      <c r="R13" s="253">
        <f t="shared" si="9"/>
        <v>17772.000000000004</v>
      </c>
      <c r="S13" s="253">
        <f t="shared" si="9"/>
        <v>17708</v>
      </c>
      <c r="T13" s="253">
        <f t="shared" si="9"/>
        <v>17654</v>
      </c>
      <c r="U13" s="253">
        <f t="shared" si="9"/>
        <v>17608</v>
      </c>
      <c r="V13" s="253">
        <f t="shared" si="9"/>
        <v>17585.400000000001</v>
      </c>
      <c r="W13" s="263"/>
      <c r="Y13" s="539"/>
      <c r="Z13" s="292" t="s">
        <v>16</v>
      </c>
      <c r="AA13" s="8">
        <f t="shared" ref="AA13:AU13" si="10">SUM(AA3:AA11)</f>
        <v>18351</v>
      </c>
      <c r="AB13" s="8">
        <f t="shared" si="10"/>
        <v>16702.631941663258</v>
      </c>
      <c r="AC13" s="8">
        <f t="shared" si="10"/>
        <v>15738.398440149722</v>
      </c>
      <c r="AD13" s="8">
        <f t="shared" si="10"/>
        <v>15054.263883326515</v>
      </c>
      <c r="AE13" s="8">
        <f t="shared" si="10"/>
        <v>14523.607894632989</v>
      </c>
      <c r="AF13" s="8">
        <f t="shared" si="10"/>
        <v>14090.03038181298</v>
      </c>
      <c r="AG13" s="8">
        <f t="shared" si="10"/>
        <v>13723.445818065817</v>
      </c>
      <c r="AH13" s="8">
        <f t="shared" si="10"/>
        <v>13405.895824989777</v>
      </c>
      <c r="AI13" s="8">
        <f t="shared" si="10"/>
        <v>13125.796880299446</v>
      </c>
      <c r="AJ13" s="8">
        <f t="shared" si="10"/>
        <v>12875.23983629625</v>
      </c>
      <c r="AK13" s="8">
        <f t="shared" si="10"/>
        <v>12648.583419838109</v>
      </c>
      <c r="AL13" s="8">
        <f t="shared" si="10"/>
        <v>12441.662323476243</v>
      </c>
      <c r="AM13" s="8">
        <f t="shared" si="10"/>
        <v>12251.313366815612</v>
      </c>
      <c r="AN13" s="8">
        <f t="shared" si="10"/>
        <v>12075.077759729078</v>
      </c>
      <c r="AO13" s="8">
        <f t="shared" si="10"/>
        <v>11911.006334782714</v>
      </c>
      <c r="AP13" s="8">
        <f t="shared" si="10"/>
        <v>11757.527766653036</v>
      </c>
      <c r="AQ13" s="8">
        <f t="shared" si="10"/>
        <v>11613.356812844602</v>
      </c>
      <c r="AR13" s="8">
        <f t="shared" si="10"/>
        <v>11477.428821962707</v>
      </c>
      <c r="AS13" s="8">
        <f t="shared" si="10"/>
        <v>11348.851972709779</v>
      </c>
      <c r="AT13" s="8">
        <f t="shared" si="10"/>
        <v>11226.87177795951</v>
      </c>
      <c r="AU13" s="8">
        <f t="shared" si="10"/>
        <v>11110.844258215539</v>
      </c>
      <c r="AW13" s="263"/>
      <c r="AX13" s="2"/>
    </row>
    <row r="14" spans="1:75" x14ac:dyDescent="0.3">
      <c r="A14" s="259" t="s">
        <v>1074</v>
      </c>
      <c r="B14" s="260"/>
      <c r="C14" s="261">
        <f>(C13-B13)/B13</f>
        <v>3.4875483624868596E-3</v>
      </c>
      <c r="D14" s="261">
        <f t="shared" ref="D14:V14" si="11">(D13-C13)/C13</f>
        <v>2.9323920716808932E-3</v>
      </c>
      <c r="E14" s="261">
        <f>(E13-D13)/D13</f>
        <v>4.1150035194109048E-3</v>
      </c>
      <c r="F14" s="261">
        <f>(F13-E13)/E13</f>
        <v>3.6667565381502485E-3</v>
      </c>
      <c r="G14" s="261">
        <f t="shared" si="11"/>
        <v>2.7937463063452237E-3</v>
      </c>
      <c r="H14" s="261">
        <f t="shared" si="11"/>
        <v>1.2858290918832038E-3</v>
      </c>
      <c r="I14" s="261">
        <f t="shared" si="11"/>
        <v>5.3507410776197868E-5</v>
      </c>
      <c r="J14" s="261">
        <f t="shared" si="11"/>
        <v>-2.5682182985551829E-3</v>
      </c>
      <c r="K14" s="261">
        <f t="shared" si="11"/>
        <v>-4.1304581053535029E-3</v>
      </c>
      <c r="L14" s="261">
        <f t="shared" si="11"/>
        <v>-9.0492862914085641E-3</v>
      </c>
      <c r="M14" s="261">
        <f t="shared" si="11"/>
        <v>-7.3925096483122245E-3</v>
      </c>
      <c r="N14" s="261">
        <f t="shared" si="11"/>
        <v>-6.4070970921638265E-3</v>
      </c>
      <c r="O14" s="261">
        <f t="shared" si="11"/>
        <v>-6.062610229276697E-3</v>
      </c>
      <c r="P14" s="261">
        <f t="shared" si="11"/>
        <v>-5.4896306975710527E-3</v>
      </c>
      <c r="Q14" s="261">
        <f t="shared" si="11"/>
        <v>-4.8508502927239261E-3</v>
      </c>
      <c r="R14" s="261">
        <f t="shared" si="11"/>
        <v>-4.2581801882561835E-3</v>
      </c>
      <c r="S14" s="261">
        <f t="shared" si="11"/>
        <v>-3.6011703803738252E-3</v>
      </c>
      <c r="T14" s="261">
        <f t="shared" si="11"/>
        <v>-3.0494691664784278E-3</v>
      </c>
      <c r="U14" s="261">
        <f t="shared" si="11"/>
        <v>-2.6056417808995127E-3</v>
      </c>
      <c r="V14" s="261">
        <f t="shared" si="11"/>
        <v>-1.2835074965923754E-3</v>
      </c>
    </row>
    <row r="17" spans="1:48" ht="18.600000000000001" thickBot="1" x14ac:dyDescent="0.4">
      <c r="A17" s="542" t="s">
        <v>993</v>
      </c>
      <c r="B17" s="542"/>
      <c r="C17" s="542"/>
      <c r="D17" s="542"/>
      <c r="E17" s="542"/>
      <c r="F17" s="542"/>
      <c r="G17" s="542"/>
      <c r="H17" s="542"/>
      <c r="I17" s="542"/>
      <c r="J17" s="542"/>
      <c r="K17" s="542"/>
      <c r="L17" s="542"/>
      <c r="M17" s="542"/>
      <c r="N17" s="542"/>
      <c r="O17" s="542"/>
      <c r="P17" s="542"/>
      <c r="Q17" s="542"/>
      <c r="R17" s="542"/>
      <c r="S17" s="542"/>
      <c r="T17" s="542"/>
      <c r="U17" s="542"/>
      <c r="V17" s="542"/>
      <c r="W17" t="s">
        <v>40</v>
      </c>
      <c r="Z17" s="543" t="s">
        <v>915</v>
      </c>
      <c r="AA17" s="543"/>
      <c r="AB17" s="543"/>
      <c r="AC17" s="543"/>
      <c r="AD17" s="543"/>
      <c r="AE17" s="543"/>
      <c r="AF17" s="543"/>
      <c r="AG17" s="543"/>
      <c r="AH17" s="543"/>
      <c r="AI17" s="543"/>
      <c r="AJ17" s="543"/>
      <c r="AK17" s="543"/>
      <c r="AL17" s="543"/>
      <c r="AM17" s="543"/>
      <c r="AN17" s="543"/>
      <c r="AO17" s="543"/>
      <c r="AP17" s="543"/>
      <c r="AQ17" s="543"/>
      <c r="AR17" s="543"/>
      <c r="AS17" s="543"/>
      <c r="AT17" s="543"/>
      <c r="AU17" s="543"/>
    </row>
    <row r="18" spans="1:48" x14ac:dyDescent="0.3">
      <c r="A18" s="245"/>
      <c r="B18" s="242">
        <v>2020</v>
      </c>
      <c r="C18" s="242">
        <v>2021</v>
      </c>
      <c r="D18" s="242">
        <v>2022</v>
      </c>
      <c r="E18" s="242">
        <v>2023</v>
      </c>
      <c r="F18" s="242">
        <v>2024</v>
      </c>
      <c r="G18" s="242">
        <v>2025</v>
      </c>
      <c r="H18" s="242">
        <v>2026</v>
      </c>
      <c r="I18" s="242">
        <v>2027</v>
      </c>
      <c r="J18" s="242">
        <v>2028</v>
      </c>
      <c r="K18" s="242">
        <v>2029</v>
      </c>
      <c r="L18" s="242">
        <v>2030</v>
      </c>
      <c r="M18" s="242">
        <v>2031</v>
      </c>
      <c r="N18" s="242">
        <v>2032</v>
      </c>
      <c r="O18" s="242">
        <v>2033</v>
      </c>
      <c r="P18" s="242">
        <v>2034</v>
      </c>
      <c r="Q18" s="242">
        <v>2035</v>
      </c>
      <c r="R18" s="242">
        <v>2036</v>
      </c>
      <c r="S18" s="242">
        <v>2037</v>
      </c>
      <c r="T18" s="242">
        <v>2038</v>
      </c>
      <c r="U18" s="242">
        <v>2039</v>
      </c>
      <c r="V18" s="242">
        <v>2040</v>
      </c>
      <c r="W18" s="24" t="s">
        <v>105</v>
      </c>
      <c r="Y18" s="537"/>
      <c r="Z18" s="7"/>
      <c r="AA18" s="7">
        <v>2020</v>
      </c>
      <c r="AB18" s="7">
        <v>2021</v>
      </c>
      <c r="AC18" s="7">
        <v>2022</v>
      </c>
      <c r="AD18" s="7">
        <v>2023</v>
      </c>
      <c r="AE18" s="7">
        <v>2024</v>
      </c>
      <c r="AF18" s="7">
        <v>2025</v>
      </c>
      <c r="AG18" s="7">
        <v>2026</v>
      </c>
      <c r="AH18" s="7">
        <v>2027</v>
      </c>
      <c r="AI18" s="7">
        <v>2028</v>
      </c>
      <c r="AJ18" s="7">
        <v>2029</v>
      </c>
      <c r="AK18" s="7">
        <v>2030</v>
      </c>
      <c r="AL18" s="7">
        <v>2031</v>
      </c>
      <c r="AM18" s="7">
        <v>2032</v>
      </c>
      <c r="AN18" s="7">
        <v>2033</v>
      </c>
      <c r="AO18" s="7">
        <v>2034</v>
      </c>
      <c r="AP18" s="7">
        <v>2035</v>
      </c>
      <c r="AQ18" s="7">
        <v>2036</v>
      </c>
      <c r="AR18" s="7">
        <v>2037</v>
      </c>
      <c r="AS18" s="7">
        <v>2038</v>
      </c>
      <c r="AT18" s="7">
        <v>2039</v>
      </c>
      <c r="AU18" s="7">
        <v>2040</v>
      </c>
      <c r="AV18" s="22" t="s">
        <v>86</v>
      </c>
    </row>
    <row r="19" spans="1:48" x14ac:dyDescent="0.3">
      <c r="A19" s="245" t="s">
        <v>17</v>
      </c>
      <c r="B19" s="251">
        <f t="shared" ref="B19:V19" si="12">B$24*B56</f>
        <v>6706.8574296152492</v>
      </c>
      <c r="C19" s="251">
        <f t="shared" si="12"/>
        <v>6817.4859429750468</v>
      </c>
      <c r="D19" s="251">
        <f t="shared" si="12"/>
        <v>6856.8295689339393</v>
      </c>
      <c r="E19" s="251">
        <f t="shared" si="12"/>
        <v>6907.0758779480739</v>
      </c>
      <c r="F19" s="251">
        <f t="shared" si="12"/>
        <v>7034.7693793456629</v>
      </c>
      <c r="G19" s="251">
        <f t="shared" si="12"/>
        <v>6971.1834757329207</v>
      </c>
      <c r="H19" s="251">
        <f t="shared" si="12"/>
        <v>6991.5684495645928</v>
      </c>
      <c r="I19" s="251">
        <f t="shared" si="12"/>
        <v>7077.7351679147287</v>
      </c>
      <c r="J19" s="251">
        <f t="shared" si="12"/>
        <v>7098.9010493995984</v>
      </c>
      <c r="K19" s="251">
        <f t="shared" si="12"/>
        <v>7066.657232278053</v>
      </c>
      <c r="L19" s="251">
        <f t="shared" si="12"/>
        <v>6993.9202821068875</v>
      </c>
      <c r="M19" s="251">
        <f t="shared" si="12"/>
        <v>6944.6108467618242</v>
      </c>
      <c r="N19" s="251">
        <f t="shared" si="12"/>
        <v>6916.508665185439</v>
      </c>
      <c r="O19" s="251">
        <f t="shared" si="12"/>
        <v>6950.6844674349895</v>
      </c>
      <c r="P19" s="251">
        <f t="shared" si="12"/>
        <v>6988.3639183601945</v>
      </c>
      <c r="Q19" s="251">
        <f t="shared" si="12"/>
        <v>6836.7548113902631</v>
      </c>
      <c r="R19" s="251">
        <f t="shared" si="12"/>
        <v>6887.8512185598838</v>
      </c>
      <c r="S19" s="251">
        <f t="shared" si="12"/>
        <v>6807.6275602701289</v>
      </c>
      <c r="T19" s="251">
        <f t="shared" si="12"/>
        <v>6900.0677615784753</v>
      </c>
      <c r="U19" s="251">
        <f t="shared" si="12"/>
        <v>6657.4680119091845</v>
      </c>
      <c r="V19" s="251">
        <f t="shared" si="12"/>
        <v>6725.9108117104743</v>
      </c>
      <c r="W19" s="1"/>
      <c r="Y19" s="538"/>
      <c r="Z19" s="3" t="s">
        <v>0</v>
      </c>
      <c r="AA19" s="2">
        <f>_xlfn.IFS(Dashboard!$C$34=Dashboard!$V$37,'Consumption Forecasts'!AA29,
Dashboard!$C$34=Dashboard!$V$40, 'Consumption Forecasts'!AA60,
Dashboard!$C$34=Dashboard!$V$38, 'Consumption Forecasts'!AA36,
Dashboard!$C$34=Dashboard!$V$39, 'Consumption Forecasts'!AA43,
Dashboard!$C$34=Dashboard!$V$41, 'Consumption Forecasts'!AA94,
Dashboard!$C$34=Dashboard!$V$42, 'Consumption Forecasts'!AA101,
Dashboard!$C$34=Dashboard!$V$43, 'Consumption Forecasts'!AA87,
Dashboard!$C$34=Dashboard!$V$36, 'Consumption Forecasts'!AA77)</f>
        <v>6548.8704746003232</v>
      </c>
      <c r="AB19" s="2">
        <f>_xlfn.IFS(Dashboard!$C$34=Dashboard!$V$37,'Consumption Forecasts'!AB29,
Dashboard!$C$34=Dashboard!$V$40, 'Consumption Forecasts'!AB60,
Dashboard!$C$34=Dashboard!$V$38, 'Consumption Forecasts'!AB36,
Dashboard!$C$34=Dashboard!$V$39, 'Consumption Forecasts'!AB43,
Dashboard!$C$34=Dashboard!$V$41, 'Consumption Forecasts'!AB94,
Dashboard!$C$34=Dashboard!$V$42, 'Consumption Forecasts'!AB101,
Dashboard!$C$34=Dashboard!$V$43, 'Consumption Forecasts'!AB87,
Dashboard!$C$34=Dashboard!$V$36, 'Consumption Forecasts'!AB77)</f>
        <v>6383.6447173377801</v>
      </c>
      <c r="AC19" s="2">
        <f>_xlfn.IFS(Dashboard!$C$34=Dashboard!$V$37,'Consumption Forecasts'!AC29,
Dashboard!$C$34=Dashboard!$V$40, 'Consumption Forecasts'!AC60,
Dashboard!$C$34=Dashboard!$V$38, 'Consumption Forecasts'!AC36,
Dashboard!$C$34=Dashboard!$V$39, 'Consumption Forecasts'!AC43,
Dashboard!$C$34=Dashboard!$V$41, 'Consumption Forecasts'!AC94,
Dashboard!$C$34=Dashboard!$V$42, 'Consumption Forecasts'!AC101,
Dashboard!$C$34=Dashboard!$V$43, 'Consumption Forecasts'!AC87,
Dashboard!$C$34=Dashboard!$V$36, 'Consumption Forecasts'!AC77)</f>
        <v>6218.4189600752379</v>
      </c>
      <c r="AD19" s="2">
        <f>_xlfn.IFS(Dashboard!$C$34=Dashboard!$V$37,'Consumption Forecasts'!AD29,
Dashboard!$C$34=Dashboard!$V$40, 'Consumption Forecasts'!AD60,
Dashboard!$C$34=Dashboard!$V$38, 'Consumption Forecasts'!AD36,
Dashboard!$C$34=Dashboard!$V$39, 'Consumption Forecasts'!AD43,
Dashboard!$C$34=Dashboard!$V$41, 'Consumption Forecasts'!AD94,
Dashboard!$C$34=Dashboard!$V$42, 'Consumption Forecasts'!AD101,
Dashboard!$C$34=Dashboard!$V$43, 'Consumption Forecasts'!AD87,
Dashboard!$C$34=Dashboard!$V$36, 'Consumption Forecasts'!AD77)</f>
        <v>6053.1932028126948</v>
      </c>
      <c r="AE19" s="2">
        <f>_xlfn.IFS(Dashboard!$C$34=Dashboard!$V$37,'Consumption Forecasts'!AE29,
Dashboard!$C$34=Dashboard!$V$40, 'Consumption Forecasts'!AE60,
Dashboard!$C$34=Dashboard!$V$38, 'Consumption Forecasts'!AE36,
Dashboard!$C$34=Dashboard!$V$39, 'Consumption Forecasts'!AE43,
Dashboard!$C$34=Dashboard!$V$41, 'Consumption Forecasts'!AE94,
Dashboard!$C$34=Dashboard!$V$42, 'Consumption Forecasts'!AE101,
Dashboard!$C$34=Dashboard!$V$43, 'Consumption Forecasts'!AE87,
Dashboard!$C$34=Dashboard!$V$36, 'Consumption Forecasts'!AE77)</f>
        <v>5887.9674455501527</v>
      </c>
      <c r="AF19" s="2">
        <f>_xlfn.IFS(Dashboard!$C$34=Dashboard!$V$37,'Consumption Forecasts'!AF29,
Dashboard!$C$34=Dashboard!$V$40, 'Consumption Forecasts'!AF60,
Dashboard!$C$34=Dashboard!$V$38, 'Consumption Forecasts'!AF36,
Dashboard!$C$34=Dashboard!$V$39, 'Consumption Forecasts'!AF43,
Dashboard!$C$34=Dashboard!$V$41, 'Consumption Forecasts'!AF94,
Dashboard!$C$34=Dashboard!$V$42, 'Consumption Forecasts'!AF101,
Dashboard!$C$34=Dashboard!$V$43, 'Consumption Forecasts'!AF87,
Dashboard!$C$34=Dashboard!$V$36, 'Consumption Forecasts'!AF77)</f>
        <v>5722.7416882876096</v>
      </c>
      <c r="AG19" s="2">
        <f>_xlfn.IFS(Dashboard!$C$34=Dashboard!$V$37,'Consumption Forecasts'!AG29,
Dashboard!$C$34=Dashboard!$V$40, 'Consumption Forecasts'!AG60,
Dashboard!$C$34=Dashboard!$V$38, 'Consumption Forecasts'!AG36,
Dashboard!$C$34=Dashboard!$V$39, 'Consumption Forecasts'!AG43,
Dashboard!$C$34=Dashboard!$V$41, 'Consumption Forecasts'!AG94,
Dashboard!$C$34=Dashboard!$V$42, 'Consumption Forecasts'!AG101,
Dashboard!$C$34=Dashboard!$V$43, 'Consumption Forecasts'!AG87,
Dashboard!$C$34=Dashboard!$V$36, 'Consumption Forecasts'!AG77)</f>
        <v>5557.5159310250674</v>
      </c>
      <c r="AH19" s="2">
        <f>_xlfn.IFS(Dashboard!$C$34=Dashboard!$V$37,'Consumption Forecasts'!AH29,
Dashboard!$C$34=Dashboard!$V$40, 'Consumption Forecasts'!AH60,
Dashboard!$C$34=Dashboard!$V$38, 'Consumption Forecasts'!AH36,
Dashboard!$C$34=Dashboard!$V$39, 'Consumption Forecasts'!AH43,
Dashboard!$C$34=Dashboard!$V$41, 'Consumption Forecasts'!AH94,
Dashboard!$C$34=Dashboard!$V$42, 'Consumption Forecasts'!AH101,
Dashboard!$C$34=Dashboard!$V$43, 'Consumption Forecasts'!AH87,
Dashboard!$C$34=Dashboard!$V$36, 'Consumption Forecasts'!AH77)</f>
        <v>5392.2901737625243</v>
      </c>
      <c r="AI19" s="2">
        <f>_xlfn.IFS(Dashboard!$C$34=Dashboard!$V$37,'Consumption Forecasts'!AI29,
Dashboard!$C$34=Dashboard!$V$40, 'Consumption Forecasts'!AI60,
Dashboard!$C$34=Dashboard!$V$38, 'Consumption Forecasts'!AI36,
Dashboard!$C$34=Dashboard!$V$39, 'Consumption Forecasts'!AI43,
Dashboard!$C$34=Dashboard!$V$41, 'Consumption Forecasts'!AI94,
Dashboard!$C$34=Dashboard!$V$42, 'Consumption Forecasts'!AI101,
Dashboard!$C$34=Dashboard!$V$43, 'Consumption Forecasts'!AI87,
Dashboard!$C$34=Dashboard!$V$36, 'Consumption Forecasts'!AI77)</f>
        <v>5227.0644164999812</v>
      </c>
      <c r="AJ19" s="2">
        <f>_xlfn.IFS(Dashboard!$C$34=Dashboard!$V$37,'Consumption Forecasts'!AJ29,
Dashboard!$C$34=Dashboard!$V$40, 'Consumption Forecasts'!AJ60,
Dashboard!$C$34=Dashboard!$V$38, 'Consumption Forecasts'!AJ36,
Dashboard!$C$34=Dashboard!$V$39, 'Consumption Forecasts'!AJ43,
Dashboard!$C$34=Dashboard!$V$41, 'Consumption Forecasts'!AJ94,
Dashboard!$C$34=Dashboard!$V$42, 'Consumption Forecasts'!AJ101,
Dashboard!$C$34=Dashboard!$V$43, 'Consumption Forecasts'!AJ87,
Dashboard!$C$34=Dashboard!$V$36, 'Consumption Forecasts'!AJ77)</f>
        <v>5061.8386592374391</v>
      </c>
      <c r="AK19" s="2">
        <f>_xlfn.IFS(Dashboard!$C$34=Dashboard!$V$37,'Consumption Forecasts'!AK29,
Dashboard!$C$34=Dashboard!$V$40, 'Consumption Forecasts'!AK60,
Dashboard!$C$34=Dashboard!$V$38, 'Consumption Forecasts'!AK36,
Dashboard!$C$34=Dashboard!$V$39, 'Consumption Forecasts'!AK43,
Dashboard!$C$34=Dashboard!$V$41, 'Consumption Forecasts'!AK94,
Dashboard!$C$34=Dashboard!$V$42, 'Consumption Forecasts'!AK101,
Dashboard!$C$34=Dashboard!$V$43, 'Consumption Forecasts'!AK87,
Dashboard!$C$34=Dashboard!$V$36, 'Consumption Forecasts'!AK77)</f>
        <v>4896.612901974896</v>
      </c>
      <c r="AL19" s="2">
        <f>_xlfn.IFS(Dashboard!$C$34=Dashboard!$V$37,'Consumption Forecasts'!AL29,
Dashboard!$C$34=Dashboard!$V$40, 'Consumption Forecasts'!AL60,
Dashboard!$C$34=Dashboard!$V$38, 'Consumption Forecasts'!AL36,
Dashboard!$C$34=Dashboard!$V$39, 'Consumption Forecasts'!AL43,
Dashboard!$C$34=Dashboard!$V$41, 'Consumption Forecasts'!AL94,
Dashboard!$C$34=Dashboard!$V$42, 'Consumption Forecasts'!AL101,
Dashboard!$C$34=Dashboard!$V$43, 'Consumption Forecasts'!AL87,
Dashboard!$C$34=Dashboard!$V$36, 'Consumption Forecasts'!AL77)</f>
        <v>4731.3871447123529</v>
      </c>
      <c r="AM19" s="2">
        <f>_xlfn.IFS(Dashboard!$C$34=Dashboard!$V$37,'Consumption Forecasts'!AM29,
Dashboard!$C$34=Dashboard!$V$40, 'Consumption Forecasts'!AM60,
Dashboard!$C$34=Dashboard!$V$38, 'Consumption Forecasts'!AM36,
Dashboard!$C$34=Dashboard!$V$39, 'Consumption Forecasts'!AM43,
Dashboard!$C$34=Dashboard!$V$41, 'Consumption Forecasts'!AM94,
Dashboard!$C$34=Dashboard!$V$42, 'Consumption Forecasts'!AM101,
Dashboard!$C$34=Dashboard!$V$43, 'Consumption Forecasts'!AM87,
Dashboard!$C$34=Dashboard!$V$36, 'Consumption Forecasts'!AM77)</f>
        <v>4566.1613874498107</v>
      </c>
      <c r="AN19" s="2">
        <f>_xlfn.IFS(Dashboard!$C$34=Dashboard!$V$37,'Consumption Forecasts'!AN29,
Dashboard!$C$34=Dashboard!$V$40, 'Consumption Forecasts'!AN60,
Dashboard!$C$34=Dashboard!$V$38, 'Consumption Forecasts'!AN36,
Dashboard!$C$34=Dashboard!$V$39, 'Consumption Forecasts'!AN43,
Dashboard!$C$34=Dashboard!$V$41, 'Consumption Forecasts'!AN94,
Dashboard!$C$34=Dashboard!$V$42, 'Consumption Forecasts'!AN101,
Dashboard!$C$34=Dashboard!$V$43, 'Consumption Forecasts'!AN87,
Dashboard!$C$34=Dashboard!$V$36, 'Consumption Forecasts'!AN77)</f>
        <v>4400.9356301872685</v>
      </c>
      <c r="AO19" s="2">
        <f>_xlfn.IFS(Dashboard!$C$34=Dashboard!$V$37,'Consumption Forecasts'!AO29,
Dashboard!$C$34=Dashboard!$V$40, 'Consumption Forecasts'!AO60,
Dashboard!$C$34=Dashboard!$V$38, 'Consumption Forecasts'!AO36,
Dashboard!$C$34=Dashboard!$V$39, 'Consumption Forecasts'!AO43,
Dashboard!$C$34=Dashboard!$V$41, 'Consumption Forecasts'!AO94,
Dashboard!$C$34=Dashboard!$V$42, 'Consumption Forecasts'!AO101,
Dashboard!$C$34=Dashboard!$V$43, 'Consumption Forecasts'!AO87,
Dashboard!$C$34=Dashboard!$V$36, 'Consumption Forecasts'!AO77)</f>
        <v>4235.7098729247246</v>
      </c>
      <c r="AP19" s="2">
        <f>_xlfn.IFS(Dashboard!$C$34=Dashboard!$V$37,'Consumption Forecasts'!AP29,
Dashboard!$C$34=Dashboard!$V$40, 'Consumption Forecasts'!AP60,
Dashboard!$C$34=Dashboard!$V$38, 'Consumption Forecasts'!AP36,
Dashboard!$C$34=Dashboard!$V$39, 'Consumption Forecasts'!AP43,
Dashboard!$C$34=Dashboard!$V$41, 'Consumption Forecasts'!AP94,
Dashboard!$C$34=Dashboard!$V$42, 'Consumption Forecasts'!AP101,
Dashboard!$C$34=Dashboard!$V$43, 'Consumption Forecasts'!AP87,
Dashboard!$C$34=Dashboard!$V$36, 'Consumption Forecasts'!AP77)</f>
        <v>4070.4841156621824</v>
      </c>
      <c r="AQ19" s="2">
        <f>_xlfn.IFS(Dashboard!$C$34=Dashboard!$V$37,'Consumption Forecasts'!AQ29,
Dashboard!$C$34=Dashboard!$V$40, 'Consumption Forecasts'!AQ60,
Dashboard!$C$34=Dashboard!$V$38, 'Consumption Forecasts'!AQ36,
Dashboard!$C$34=Dashboard!$V$39, 'Consumption Forecasts'!AQ43,
Dashboard!$C$34=Dashboard!$V$41, 'Consumption Forecasts'!AQ94,
Dashboard!$C$34=Dashboard!$V$42, 'Consumption Forecasts'!AQ101,
Dashboard!$C$34=Dashboard!$V$43, 'Consumption Forecasts'!AQ87,
Dashboard!$C$34=Dashboard!$V$36, 'Consumption Forecasts'!AQ77)</f>
        <v>3905.2583583996397</v>
      </c>
      <c r="AR19" s="2">
        <f>_xlfn.IFS(Dashboard!$C$34=Dashboard!$V$37,'Consumption Forecasts'!AR29,
Dashboard!$C$34=Dashboard!$V$40, 'Consumption Forecasts'!AR60,
Dashboard!$C$34=Dashboard!$V$38, 'Consumption Forecasts'!AR36,
Dashboard!$C$34=Dashboard!$V$39, 'Consumption Forecasts'!AR43,
Dashboard!$C$34=Dashboard!$V$41, 'Consumption Forecasts'!AR94,
Dashboard!$C$34=Dashboard!$V$42, 'Consumption Forecasts'!AR101,
Dashboard!$C$34=Dashboard!$V$43, 'Consumption Forecasts'!AR87,
Dashboard!$C$34=Dashboard!$V$36, 'Consumption Forecasts'!AR77)</f>
        <v>3740.0326011370971</v>
      </c>
      <c r="AS19" s="2">
        <f>_xlfn.IFS(Dashboard!$C$34=Dashboard!$V$37,'Consumption Forecasts'!AS29,
Dashboard!$C$34=Dashboard!$V$40, 'Consumption Forecasts'!AS60,
Dashboard!$C$34=Dashboard!$V$38, 'Consumption Forecasts'!AS36,
Dashboard!$C$34=Dashboard!$V$39, 'Consumption Forecasts'!AS43,
Dashboard!$C$34=Dashboard!$V$41, 'Consumption Forecasts'!AS94,
Dashboard!$C$34=Dashboard!$V$42, 'Consumption Forecasts'!AS101,
Dashboard!$C$34=Dashboard!$V$43, 'Consumption Forecasts'!AS87,
Dashboard!$C$34=Dashboard!$V$36, 'Consumption Forecasts'!AS77)</f>
        <v>3574.8068438745545</v>
      </c>
      <c r="AT19" s="2">
        <f>_xlfn.IFS(Dashboard!$C$34=Dashboard!$V$37,'Consumption Forecasts'!AT29,
Dashboard!$C$34=Dashboard!$V$40, 'Consumption Forecasts'!AT60,
Dashboard!$C$34=Dashboard!$V$38, 'Consumption Forecasts'!AT36,
Dashboard!$C$34=Dashboard!$V$39, 'Consumption Forecasts'!AT43,
Dashboard!$C$34=Dashboard!$V$41, 'Consumption Forecasts'!AT94,
Dashboard!$C$34=Dashboard!$V$42, 'Consumption Forecasts'!AT101,
Dashboard!$C$34=Dashboard!$V$43, 'Consumption Forecasts'!AT87,
Dashboard!$C$34=Dashboard!$V$36, 'Consumption Forecasts'!AT77)</f>
        <v>3409.5810866120114</v>
      </c>
      <c r="AU19" s="2">
        <f>_xlfn.IFS(Dashboard!$C$34=Dashboard!$V$37,'Consumption Forecasts'!AU29,
Dashboard!$C$34=Dashboard!$V$40, 'Consumption Forecasts'!AU60,
Dashboard!$C$34=Dashboard!$V$38, 'Consumption Forecasts'!AU36,
Dashboard!$C$34=Dashboard!$V$39, 'Consumption Forecasts'!AU43,
Dashboard!$C$34=Dashboard!$V$41, 'Consumption Forecasts'!AU94,
Dashboard!$C$34=Dashboard!$V$42, 'Consumption Forecasts'!AU101,
Dashboard!$C$34=Dashboard!$V$43, 'Consumption Forecasts'!AU87,
Dashboard!$C$34=Dashboard!$V$36, 'Consumption Forecasts'!AU77)</f>
        <v>3244.3553293494688</v>
      </c>
      <c r="AV19" s="24" t="s">
        <v>318</v>
      </c>
    </row>
    <row r="20" spans="1:48" x14ac:dyDescent="0.3">
      <c r="A20" s="245" t="s">
        <v>18</v>
      </c>
      <c r="B20" s="251">
        <f t="shared" ref="B20:V20" si="13">B$24*B57</f>
        <v>9726.2870100580876</v>
      </c>
      <c r="C20" s="251">
        <f t="shared" si="13"/>
        <v>9861.3972649911157</v>
      </c>
      <c r="D20" s="251">
        <f t="shared" si="13"/>
        <v>9880.9179830791345</v>
      </c>
      <c r="E20" s="251">
        <f t="shared" si="13"/>
        <v>9919.2938543944038</v>
      </c>
      <c r="F20" s="251">
        <f t="shared" si="13"/>
        <v>10077.445632020763</v>
      </c>
      <c r="G20" s="251">
        <f t="shared" si="13"/>
        <v>9975.895968140374</v>
      </c>
      <c r="H20" s="251">
        <f t="shared" si="13"/>
        <v>10008.237153169652</v>
      </c>
      <c r="I20" s="251">
        <f t="shared" si="13"/>
        <v>10160.947510109347</v>
      </c>
      <c r="J20" s="251">
        <f t="shared" si="13"/>
        <v>10238.103309029437</v>
      </c>
      <c r="K20" s="251">
        <f t="shared" si="13"/>
        <v>10290.042843238905</v>
      </c>
      <c r="L20" s="251">
        <f t="shared" si="13"/>
        <v>10269.128861478199</v>
      </c>
      <c r="M20" s="251">
        <f t="shared" si="13"/>
        <v>10272.254111642924</v>
      </c>
      <c r="N20" s="251">
        <f t="shared" si="13"/>
        <v>10303.196277062696</v>
      </c>
      <c r="O20" s="251">
        <f t="shared" si="13"/>
        <v>10422.443037693356</v>
      </c>
      <c r="P20" s="251">
        <f t="shared" si="13"/>
        <v>10541.875882655044</v>
      </c>
      <c r="Q20" s="251">
        <f t="shared" si="13"/>
        <v>10368.728524935008</v>
      </c>
      <c r="R20" s="251">
        <f t="shared" si="13"/>
        <v>10495.758582538376</v>
      </c>
      <c r="S20" s="251">
        <f t="shared" si="13"/>
        <v>10416.992440229043</v>
      </c>
      <c r="T20" s="251">
        <f t="shared" si="13"/>
        <v>10597.936243240545</v>
      </c>
      <c r="U20" s="251">
        <f t="shared" si="13"/>
        <v>10251.367250350908</v>
      </c>
      <c r="V20" s="251">
        <f t="shared" si="13"/>
        <v>10378.305340568892</v>
      </c>
      <c r="Y20" s="538"/>
      <c r="Z20" s="3" t="s">
        <v>1</v>
      </c>
      <c r="AA20" s="2">
        <f>_xlfn.IFS(Dashboard!$C$34=Dashboard!$V$37,'Consumption Forecasts'!AA30,
Dashboard!$C$34=Dashboard!$V$40, 'Consumption Forecasts'!AA61,
Dashboard!$C$34=Dashboard!$V$38, 'Consumption Forecasts'!AA37,
Dashboard!$C$34=Dashboard!$V$39, 'Consumption Forecasts'!AA44,
Dashboard!$C$34=Dashboard!$V$41, 'Consumption Forecasts'!AA95,
Dashboard!$C$34=Dashboard!$V$42, 'Consumption Forecasts'!AA102,
Dashboard!$C$34=Dashboard!$V$43, 'Consumption Forecasts'!AA88,
Dashboard!$C$34=Dashboard!$V$36, 'Consumption Forecasts'!AA78)</f>
        <v>9497.1742721705814</v>
      </c>
      <c r="AB20" s="2">
        <f>_xlfn.IFS(Dashboard!$C$34=Dashboard!$V$37,'Consumption Forecasts'!AB30,
Dashboard!$C$34=Dashboard!$V$40, 'Consumption Forecasts'!AB61,
Dashboard!$C$34=Dashboard!$V$38, 'Consumption Forecasts'!AB37,
Dashboard!$C$34=Dashboard!$V$39, 'Consumption Forecasts'!AB44,
Dashboard!$C$34=Dashboard!$V$41, 'Consumption Forecasts'!AB95,
Dashboard!$C$34=Dashboard!$V$42, 'Consumption Forecasts'!AB102,
Dashboard!$C$34=Dashboard!$V$43, 'Consumption Forecasts'!AB88,
Dashboard!$C$34=Dashboard!$V$36, 'Consumption Forecasts'!AB78)</f>
        <v>9306.6426493615436</v>
      </c>
      <c r="AC20" s="2">
        <f>_xlfn.IFS(Dashboard!$C$34=Dashboard!$V$37,'Consumption Forecasts'!AC30,
Dashboard!$C$34=Dashboard!$V$40, 'Consumption Forecasts'!AC61,
Dashboard!$C$34=Dashboard!$V$38, 'Consumption Forecasts'!AC37,
Dashboard!$C$34=Dashboard!$V$39, 'Consumption Forecasts'!AC44,
Dashboard!$C$34=Dashboard!$V$41, 'Consumption Forecasts'!AC95,
Dashboard!$C$34=Dashboard!$V$42, 'Consumption Forecasts'!AC102,
Dashboard!$C$34=Dashboard!$V$43, 'Consumption Forecasts'!AC88,
Dashboard!$C$34=Dashboard!$V$36, 'Consumption Forecasts'!AC78)</f>
        <v>9116.1110265525058</v>
      </c>
      <c r="AD20" s="2">
        <f>_xlfn.IFS(Dashboard!$C$34=Dashboard!$V$37,'Consumption Forecasts'!AD30,
Dashboard!$C$34=Dashboard!$V$40, 'Consumption Forecasts'!AD61,
Dashboard!$C$34=Dashboard!$V$38, 'Consumption Forecasts'!AD37,
Dashboard!$C$34=Dashboard!$V$39, 'Consumption Forecasts'!AD44,
Dashboard!$C$34=Dashboard!$V$41, 'Consumption Forecasts'!AD95,
Dashboard!$C$34=Dashboard!$V$42, 'Consumption Forecasts'!AD102,
Dashboard!$C$34=Dashboard!$V$43, 'Consumption Forecasts'!AD88,
Dashboard!$C$34=Dashboard!$V$36, 'Consumption Forecasts'!AD78)</f>
        <v>8925.579403743468</v>
      </c>
      <c r="AE20" s="2">
        <f>_xlfn.IFS(Dashboard!$C$34=Dashboard!$V$37,'Consumption Forecasts'!AE30,
Dashboard!$C$34=Dashboard!$V$40, 'Consumption Forecasts'!AE61,
Dashboard!$C$34=Dashboard!$V$38, 'Consumption Forecasts'!AE37,
Dashboard!$C$34=Dashboard!$V$39, 'Consumption Forecasts'!AE44,
Dashboard!$C$34=Dashboard!$V$41, 'Consumption Forecasts'!AE95,
Dashboard!$C$34=Dashboard!$V$42, 'Consumption Forecasts'!AE102,
Dashboard!$C$34=Dashboard!$V$43, 'Consumption Forecasts'!AE88,
Dashboard!$C$34=Dashboard!$V$36, 'Consumption Forecasts'!AE78)</f>
        <v>8735.0477809344302</v>
      </c>
      <c r="AF20" s="2">
        <f>_xlfn.IFS(Dashboard!$C$34=Dashboard!$V$37,'Consumption Forecasts'!AF30,
Dashboard!$C$34=Dashboard!$V$40, 'Consumption Forecasts'!AF61,
Dashboard!$C$34=Dashboard!$V$38, 'Consumption Forecasts'!AF37,
Dashboard!$C$34=Dashboard!$V$39, 'Consumption Forecasts'!AF44,
Dashboard!$C$34=Dashboard!$V$41, 'Consumption Forecasts'!AF95,
Dashboard!$C$34=Dashboard!$V$42, 'Consumption Forecasts'!AF102,
Dashboard!$C$34=Dashboard!$V$43, 'Consumption Forecasts'!AF88,
Dashboard!$C$34=Dashboard!$V$36, 'Consumption Forecasts'!AF78)</f>
        <v>8544.5161581253924</v>
      </c>
      <c r="AG20" s="2">
        <f>_xlfn.IFS(Dashboard!$C$34=Dashboard!$V$37,'Consumption Forecasts'!AG30,
Dashboard!$C$34=Dashboard!$V$40, 'Consumption Forecasts'!AG61,
Dashboard!$C$34=Dashboard!$V$38, 'Consumption Forecasts'!AG37,
Dashboard!$C$34=Dashboard!$V$39, 'Consumption Forecasts'!AG44,
Dashboard!$C$34=Dashboard!$V$41, 'Consumption Forecasts'!AG95,
Dashboard!$C$34=Dashboard!$V$42, 'Consumption Forecasts'!AG102,
Dashboard!$C$34=Dashboard!$V$43, 'Consumption Forecasts'!AG88,
Dashboard!$C$34=Dashboard!$V$36, 'Consumption Forecasts'!AG78)</f>
        <v>8353.9845353163546</v>
      </c>
      <c r="AH20" s="2">
        <f>_xlfn.IFS(Dashboard!$C$34=Dashboard!$V$37,'Consumption Forecasts'!AH30,
Dashboard!$C$34=Dashboard!$V$40, 'Consumption Forecasts'!AH61,
Dashboard!$C$34=Dashboard!$V$38, 'Consumption Forecasts'!AH37,
Dashboard!$C$34=Dashboard!$V$39, 'Consumption Forecasts'!AH44,
Dashboard!$C$34=Dashboard!$V$41, 'Consumption Forecasts'!AH95,
Dashboard!$C$34=Dashboard!$V$42, 'Consumption Forecasts'!AH102,
Dashboard!$C$34=Dashboard!$V$43, 'Consumption Forecasts'!AH88,
Dashboard!$C$34=Dashboard!$V$36, 'Consumption Forecasts'!AH78)</f>
        <v>8163.4529125073177</v>
      </c>
      <c r="AI20" s="2">
        <f>_xlfn.IFS(Dashboard!$C$34=Dashboard!$V$37,'Consumption Forecasts'!AI30,
Dashboard!$C$34=Dashboard!$V$40, 'Consumption Forecasts'!AI61,
Dashboard!$C$34=Dashboard!$V$38, 'Consumption Forecasts'!AI37,
Dashboard!$C$34=Dashboard!$V$39, 'Consumption Forecasts'!AI44,
Dashboard!$C$34=Dashboard!$V$41, 'Consumption Forecasts'!AI95,
Dashboard!$C$34=Dashboard!$V$42, 'Consumption Forecasts'!AI102,
Dashboard!$C$34=Dashboard!$V$43, 'Consumption Forecasts'!AI88,
Dashboard!$C$34=Dashboard!$V$36, 'Consumption Forecasts'!AI78)</f>
        <v>7972.9212896982799</v>
      </c>
      <c r="AJ20" s="2">
        <f>_xlfn.IFS(Dashboard!$C$34=Dashboard!$V$37,'Consumption Forecasts'!AJ30,
Dashboard!$C$34=Dashboard!$V$40, 'Consumption Forecasts'!AJ61,
Dashboard!$C$34=Dashboard!$V$38, 'Consumption Forecasts'!AJ37,
Dashboard!$C$34=Dashboard!$V$39, 'Consumption Forecasts'!AJ44,
Dashboard!$C$34=Dashboard!$V$41, 'Consumption Forecasts'!AJ95,
Dashboard!$C$34=Dashboard!$V$42, 'Consumption Forecasts'!AJ102,
Dashboard!$C$34=Dashboard!$V$43, 'Consumption Forecasts'!AJ88,
Dashboard!$C$34=Dashboard!$V$36, 'Consumption Forecasts'!AJ78)</f>
        <v>7782.3896668892421</v>
      </c>
      <c r="AK20" s="2">
        <f>_xlfn.IFS(Dashboard!$C$34=Dashboard!$V$37,'Consumption Forecasts'!AK30,
Dashboard!$C$34=Dashboard!$V$40, 'Consumption Forecasts'!AK61,
Dashboard!$C$34=Dashboard!$V$38, 'Consumption Forecasts'!AK37,
Dashboard!$C$34=Dashboard!$V$39, 'Consumption Forecasts'!AK44,
Dashboard!$C$34=Dashboard!$V$41, 'Consumption Forecasts'!AK95,
Dashboard!$C$34=Dashboard!$V$42, 'Consumption Forecasts'!AK102,
Dashboard!$C$34=Dashboard!$V$43, 'Consumption Forecasts'!AK88,
Dashboard!$C$34=Dashboard!$V$36, 'Consumption Forecasts'!AK78)</f>
        <v>7591.8580440802043</v>
      </c>
      <c r="AL20" s="2">
        <f>_xlfn.IFS(Dashboard!$C$34=Dashboard!$V$37,'Consumption Forecasts'!AL30,
Dashboard!$C$34=Dashboard!$V$40, 'Consumption Forecasts'!AL61,
Dashboard!$C$34=Dashboard!$V$38, 'Consumption Forecasts'!AL37,
Dashboard!$C$34=Dashboard!$V$39, 'Consumption Forecasts'!AL44,
Dashboard!$C$34=Dashboard!$V$41, 'Consumption Forecasts'!AL95,
Dashboard!$C$34=Dashboard!$V$42, 'Consumption Forecasts'!AL102,
Dashboard!$C$34=Dashboard!$V$43, 'Consumption Forecasts'!AL88,
Dashboard!$C$34=Dashboard!$V$36, 'Consumption Forecasts'!AL78)</f>
        <v>7401.3264212711665</v>
      </c>
      <c r="AM20" s="2">
        <f>_xlfn.IFS(Dashboard!$C$34=Dashboard!$V$37,'Consumption Forecasts'!AM30,
Dashboard!$C$34=Dashboard!$V$40, 'Consumption Forecasts'!AM61,
Dashboard!$C$34=Dashboard!$V$38, 'Consumption Forecasts'!AM37,
Dashboard!$C$34=Dashboard!$V$39, 'Consumption Forecasts'!AM44,
Dashboard!$C$34=Dashboard!$V$41, 'Consumption Forecasts'!AM95,
Dashboard!$C$34=Dashboard!$V$42, 'Consumption Forecasts'!AM102,
Dashboard!$C$34=Dashboard!$V$43, 'Consumption Forecasts'!AM88,
Dashboard!$C$34=Dashboard!$V$36, 'Consumption Forecasts'!AM78)</f>
        <v>7210.7947984621287</v>
      </c>
      <c r="AN20" s="2">
        <f>_xlfn.IFS(Dashboard!$C$34=Dashboard!$V$37,'Consumption Forecasts'!AN30,
Dashboard!$C$34=Dashboard!$V$40, 'Consumption Forecasts'!AN61,
Dashboard!$C$34=Dashboard!$V$38, 'Consumption Forecasts'!AN37,
Dashboard!$C$34=Dashboard!$V$39, 'Consumption Forecasts'!AN44,
Dashboard!$C$34=Dashboard!$V$41, 'Consumption Forecasts'!AN95,
Dashboard!$C$34=Dashboard!$V$42, 'Consumption Forecasts'!AN102,
Dashboard!$C$34=Dashboard!$V$43, 'Consumption Forecasts'!AN88,
Dashboard!$C$34=Dashboard!$V$36, 'Consumption Forecasts'!AN78)</f>
        <v>7020.2631756530909</v>
      </c>
      <c r="AO20" s="2">
        <f>_xlfn.IFS(Dashboard!$C$34=Dashboard!$V$37,'Consumption Forecasts'!AO30,
Dashboard!$C$34=Dashboard!$V$40, 'Consumption Forecasts'!AO61,
Dashboard!$C$34=Dashboard!$V$38, 'Consumption Forecasts'!AO37,
Dashboard!$C$34=Dashboard!$V$39, 'Consumption Forecasts'!AO44,
Dashboard!$C$34=Dashboard!$V$41, 'Consumption Forecasts'!AO95,
Dashboard!$C$34=Dashboard!$V$42, 'Consumption Forecasts'!AO102,
Dashboard!$C$34=Dashboard!$V$43, 'Consumption Forecasts'!AO88,
Dashboard!$C$34=Dashboard!$V$36, 'Consumption Forecasts'!AO78)</f>
        <v>6829.731552844054</v>
      </c>
      <c r="AP20" s="2">
        <f>_xlfn.IFS(Dashboard!$C$34=Dashboard!$V$37,'Consumption Forecasts'!AP30,
Dashboard!$C$34=Dashboard!$V$40, 'Consumption Forecasts'!AP61,
Dashboard!$C$34=Dashboard!$V$38, 'Consumption Forecasts'!AP37,
Dashboard!$C$34=Dashboard!$V$39, 'Consumption Forecasts'!AP44,
Dashboard!$C$34=Dashboard!$V$41, 'Consumption Forecasts'!AP95,
Dashboard!$C$34=Dashboard!$V$42, 'Consumption Forecasts'!AP102,
Dashboard!$C$34=Dashboard!$V$43, 'Consumption Forecasts'!AP88,
Dashboard!$C$34=Dashboard!$V$36, 'Consumption Forecasts'!AP78)</f>
        <v>6639.1999300350162</v>
      </c>
      <c r="AQ20" s="2">
        <f>_xlfn.IFS(Dashboard!$C$34=Dashboard!$V$37,'Consumption Forecasts'!AQ30,
Dashboard!$C$34=Dashboard!$V$40, 'Consumption Forecasts'!AQ61,
Dashboard!$C$34=Dashboard!$V$38, 'Consumption Forecasts'!AQ37,
Dashboard!$C$34=Dashboard!$V$39, 'Consumption Forecasts'!AQ44,
Dashboard!$C$34=Dashboard!$V$41, 'Consumption Forecasts'!AQ95,
Dashboard!$C$34=Dashboard!$V$42, 'Consumption Forecasts'!AQ102,
Dashboard!$C$34=Dashboard!$V$43, 'Consumption Forecasts'!AQ88,
Dashboard!$C$34=Dashboard!$V$36, 'Consumption Forecasts'!AQ78)</f>
        <v>6448.6683072259784</v>
      </c>
      <c r="AR20" s="2">
        <f>_xlfn.IFS(Dashboard!$C$34=Dashboard!$V$37,'Consumption Forecasts'!AR30,
Dashboard!$C$34=Dashboard!$V$40, 'Consumption Forecasts'!AR61,
Dashboard!$C$34=Dashboard!$V$38, 'Consumption Forecasts'!AR37,
Dashboard!$C$34=Dashboard!$V$39, 'Consumption Forecasts'!AR44,
Dashboard!$C$34=Dashboard!$V$41, 'Consumption Forecasts'!AR95,
Dashboard!$C$34=Dashboard!$V$42, 'Consumption Forecasts'!AR102,
Dashboard!$C$34=Dashboard!$V$43, 'Consumption Forecasts'!AR88,
Dashboard!$C$34=Dashboard!$V$36, 'Consumption Forecasts'!AR78)</f>
        <v>6258.1366844169406</v>
      </c>
      <c r="AS20" s="2">
        <f>_xlfn.IFS(Dashboard!$C$34=Dashboard!$V$37,'Consumption Forecasts'!AS30,
Dashboard!$C$34=Dashboard!$V$40, 'Consumption Forecasts'!AS61,
Dashboard!$C$34=Dashboard!$V$38, 'Consumption Forecasts'!AS37,
Dashboard!$C$34=Dashboard!$V$39, 'Consumption Forecasts'!AS44,
Dashboard!$C$34=Dashboard!$V$41, 'Consumption Forecasts'!AS95,
Dashboard!$C$34=Dashboard!$V$42, 'Consumption Forecasts'!AS102,
Dashboard!$C$34=Dashboard!$V$43, 'Consumption Forecasts'!AS88,
Dashboard!$C$34=Dashboard!$V$36, 'Consumption Forecasts'!AS78)</f>
        <v>6067.6050616079028</v>
      </c>
      <c r="AT20" s="2">
        <f>_xlfn.IFS(Dashboard!$C$34=Dashboard!$V$37,'Consumption Forecasts'!AT30,
Dashboard!$C$34=Dashboard!$V$40, 'Consumption Forecasts'!AT61,
Dashboard!$C$34=Dashboard!$V$38, 'Consumption Forecasts'!AT37,
Dashboard!$C$34=Dashboard!$V$39, 'Consumption Forecasts'!AT44,
Dashboard!$C$34=Dashboard!$V$41, 'Consumption Forecasts'!AT95,
Dashboard!$C$34=Dashboard!$V$42, 'Consumption Forecasts'!AT102,
Dashboard!$C$34=Dashboard!$V$43, 'Consumption Forecasts'!AT88,
Dashboard!$C$34=Dashboard!$V$36, 'Consumption Forecasts'!AT78)</f>
        <v>5877.073438798865</v>
      </c>
      <c r="AU20" s="2">
        <f>_xlfn.IFS(Dashboard!$C$34=Dashboard!$V$37,'Consumption Forecasts'!AU30,
Dashboard!$C$34=Dashboard!$V$40, 'Consumption Forecasts'!AU61,
Dashboard!$C$34=Dashboard!$V$38, 'Consumption Forecasts'!AU37,
Dashboard!$C$34=Dashboard!$V$39, 'Consumption Forecasts'!AU44,
Dashboard!$C$34=Dashboard!$V$41, 'Consumption Forecasts'!AU95,
Dashboard!$C$34=Dashboard!$V$42, 'Consumption Forecasts'!AU102,
Dashboard!$C$34=Dashboard!$V$43, 'Consumption Forecasts'!AU88,
Dashboard!$C$34=Dashboard!$V$36, 'Consumption Forecasts'!AU78)</f>
        <v>5686.5418159898272</v>
      </c>
      <c r="AV20" s="24" t="s">
        <v>318</v>
      </c>
    </row>
    <row r="21" spans="1:48" x14ac:dyDescent="0.3">
      <c r="A21" s="245" t="s">
        <v>60</v>
      </c>
      <c r="B21" s="251">
        <f t="shared" ref="B21:V21" si="14">B$24*B58</f>
        <v>1897.9286801784795</v>
      </c>
      <c r="C21" s="251">
        <f t="shared" si="14"/>
        <v>2036.127602702262</v>
      </c>
      <c r="D21" s="251">
        <f t="shared" si="14"/>
        <v>2168.1590419612644</v>
      </c>
      <c r="E21" s="251">
        <f t="shared" si="14"/>
        <v>2300.2746714102605</v>
      </c>
      <c r="F21" s="251">
        <f t="shared" si="14"/>
        <v>2445.6146696646506</v>
      </c>
      <c r="G21" s="251">
        <f t="shared" si="14"/>
        <v>2506.5244145241518</v>
      </c>
      <c r="H21" s="251">
        <f t="shared" si="14"/>
        <v>2584.6086160043487</v>
      </c>
      <c r="I21" s="251">
        <f t="shared" si="14"/>
        <v>2659.8029767397229</v>
      </c>
      <c r="J21" s="251">
        <f t="shared" si="14"/>
        <v>2695.2104898082721</v>
      </c>
      <c r="K21" s="251">
        <f t="shared" si="14"/>
        <v>2653.56724121241</v>
      </c>
      <c r="L21" s="251">
        <f t="shared" si="14"/>
        <v>2619.2078498890796</v>
      </c>
      <c r="M21" s="251">
        <f t="shared" si="14"/>
        <v>2603.2407557329948</v>
      </c>
      <c r="N21" s="251">
        <f t="shared" si="14"/>
        <v>2597.9464249454982</v>
      </c>
      <c r="O21" s="251">
        <f t="shared" si="14"/>
        <v>2620.852954078076</v>
      </c>
      <c r="P21" s="251">
        <f t="shared" si="14"/>
        <v>2651.9801165251051</v>
      </c>
      <c r="Q21" s="251">
        <f t="shared" si="14"/>
        <v>2616.8803347641074</v>
      </c>
      <c r="R21" s="251">
        <f t="shared" si="14"/>
        <v>2664.6221353030473</v>
      </c>
      <c r="S21" s="251">
        <f t="shared" si="14"/>
        <v>2666.6050889257035</v>
      </c>
      <c r="T21" s="251">
        <f t="shared" si="14"/>
        <v>2740.4472838568763</v>
      </c>
      <c r="U21" s="251">
        <f t="shared" si="14"/>
        <v>2686.8039451342415</v>
      </c>
      <c r="V21" s="251">
        <f t="shared" si="14"/>
        <v>2762.7901917554136</v>
      </c>
      <c r="Y21" s="538"/>
      <c r="Z21" s="3" t="s">
        <v>2</v>
      </c>
      <c r="AA21" s="2">
        <f>_xlfn.IFS(Dashboard!$C$34=Dashboard!$V$37,'Consumption Forecasts'!AA31,
Dashboard!$C$34=Dashboard!$V$40, 'Consumption Forecasts'!AA62,
Dashboard!$C$34=Dashboard!$V$38, 'Consumption Forecasts'!AA38,
Dashboard!$C$34=Dashboard!$V$39, 'Consumption Forecasts'!AA45,
Dashboard!$C$34=Dashboard!$V$41, 'Consumption Forecasts'!AA96,
Dashboard!$C$34=Dashboard!$V$42, 'Consumption Forecasts'!AA103,
Dashboard!$C$34=Dashboard!$V$43, 'Consumption Forecasts'!AA89,
Dashboard!$C$34=Dashboard!$V$36, 'Consumption Forecasts'!AA79)</f>
        <v>1853.2210095348682</v>
      </c>
      <c r="AB21" s="2">
        <f>_xlfn.IFS(Dashboard!$C$34=Dashboard!$V$37,'Consumption Forecasts'!AB31,
Dashboard!$C$34=Dashboard!$V$40, 'Consumption Forecasts'!AB62,
Dashboard!$C$34=Dashboard!$V$38, 'Consumption Forecasts'!AB38,
Dashboard!$C$34=Dashboard!$V$39, 'Consumption Forecasts'!AB45,
Dashboard!$C$34=Dashboard!$V$41, 'Consumption Forecasts'!AB96,
Dashboard!$C$34=Dashboard!$V$42, 'Consumption Forecasts'!AB103,
Dashboard!$C$34=Dashboard!$V$43, 'Consumption Forecasts'!AB89,
Dashboard!$C$34=Dashboard!$V$36, 'Consumption Forecasts'!AB79)</f>
        <v>1860.4094880534537</v>
      </c>
      <c r="AC21" s="2">
        <f>_xlfn.IFS(Dashboard!$C$34=Dashboard!$V$37,'Consumption Forecasts'!AC31,
Dashboard!$C$34=Dashboard!$V$40, 'Consumption Forecasts'!AC62,
Dashboard!$C$34=Dashboard!$V$38, 'Consumption Forecasts'!AC38,
Dashboard!$C$34=Dashboard!$V$39, 'Consumption Forecasts'!AC45,
Dashboard!$C$34=Dashboard!$V$41, 'Consumption Forecasts'!AC96,
Dashboard!$C$34=Dashboard!$V$42, 'Consumption Forecasts'!AC103,
Dashboard!$C$34=Dashboard!$V$43, 'Consumption Forecasts'!AC89,
Dashboard!$C$34=Dashboard!$V$36, 'Consumption Forecasts'!AC79)</f>
        <v>1867.597966572039</v>
      </c>
      <c r="AD21" s="2">
        <f>_xlfn.IFS(Dashboard!$C$34=Dashboard!$V$37,'Consumption Forecasts'!AD31,
Dashboard!$C$34=Dashboard!$V$40, 'Consumption Forecasts'!AD62,
Dashboard!$C$34=Dashboard!$V$38, 'Consumption Forecasts'!AD38,
Dashboard!$C$34=Dashboard!$V$39, 'Consumption Forecasts'!AD45,
Dashboard!$C$34=Dashboard!$V$41, 'Consumption Forecasts'!AD96,
Dashboard!$C$34=Dashboard!$V$42, 'Consumption Forecasts'!AD103,
Dashboard!$C$34=Dashboard!$V$43, 'Consumption Forecasts'!AD89,
Dashboard!$C$34=Dashboard!$V$36, 'Consumption Forecasts'!AD79)</f>
        <v>1874.7864450906245</v>
      </c>
      <c r="AE21" s="2">
        <f>_xlfn.IFS(Dashboard!$C$34=Dashboard!$V$37,'Consumption Forecasts'!AE31,
Dashboard!$C$34=Dashboard!$V$40, 'Consumption Forecasts'!AE62,
Dashboard!$C$34=Dashboard!$V$38, 'Consumption Forecasts'!AE38,
Dashboard!$C$34=Dashboard!$V$39, 'Consumption Forecasts'!AE45,
Dashboard!$C$34=Dashboard!$V$41, 'Consumption Forecasts'!AE96,
Dashboard!$C$34=Dashboard!$V$42, 'Consumption Forecasts'!AE103,
Dashboard!$C$34=Dashboard!$V$43, 'Consumption Forecasts'!AE89,
Dashboard!$C$34=Dashboard!$V$36, 'Consumption Forecasts'!AE79)</f>
        <v>1881.9749236092098</v>
      </c>
      <c r="AF21" s="2">
        <f>_xlfn.IFS(Dashboard!$C$34=Dashboard!$V$37,'Consumption Forecasts'!AF31,
Dashboard!$C$34=Dashboard!$V$40, 'Consumption Forecasts'!AF62,
Dashboard!$C$34=Dashboard!$V$38, 'Consumption Forecasts'!AF38,
Dashboard!$C$34=Dashboard!$V$39, 'Consumption Forecasts'!AF45,
Dashboard!$C$34=Dashboard!$V$41, 'Consumption Forecasts'!AF96,
Dashboard!$C$34=Dashboard!$V$42, 'Consumption Forecasts'!AF103,
Dashboard!$C$34=Dashboard!$V$43, 'Consumption Forecasts'!AF89,
Dashboard!$C$34=Dashboard!$V$36, 'Consumption Forecasts'!AF79)</f>
        <v>1889.1634021277953</v>
      </c>
      <c r="AG21" s="2">
        <f>_xlfn.IFS(Dashboard!$C$34=Dashboard!$V$37,'Consumption Forecasts'!AG31,
Dashboard!$C$34=Dashboard!$V$40, 'Consumption Forecasts'!AG62,
Dashboard!$C$34=Dashboard!$V$38, 'Consumption Forecasts'!AG38,
Dashboard!$C$34=Dashboard!$V$39, 'Consumption Forecasts'!AG45,
Dashboard!$C$34=Dashboard!$V$41, 'Consumption Forecasts'!AG96,
Dashboard!$C$34=Dashboard!$V$42, 'Consumption Forecasts'!AG103,
Dashboard!$C$34=Dashboard!$V$43, 'Consumption Forecasts'!AG89,
Dashboard!$C$34=Dashboard!$V$36, 'Consumption Forecasts'!AG79)</f>
        <v>1896.3518806463808</v>
      </c>
      <c r="AH21" s="2">
        <f>_xlfn.IFS(Dashboard!$C$34=Dashboard!$V$37,'Consumption Forecasts'!AH31,
Dashboard!$C$34=Dashboard!$V$40, 'Consumption Forecasts'!AH62,
Dashboard!$C$34=Dashboard!$V$38, 'Consumption Forecasts'!AH38,
Dashboard!$C$34=Dashboard!$V$39, 'Consumption Forecasts'!AH45,
Dashboard!$C$34=Dashboard!$V$41, 'Consumption Forecasts'!AH96,
Dashboard!$C$34=Dashboard!$V$42, 'Consumption Forecasts'!AH103,
Dashboard!$C$34=Dashboard!$V$43, 'Consumption Forecasts'!AH89,
Dashboard!$C$34=Dashboard!$V$36, 'Consumption Forecasts'!AH79)</f>
        <v>1903.540359164966</v>
      </c>
      <c r="AI21" s="2">
        <f>_xlfn.IFS(Dashboard!$C$34=Dashboard!$V$37,'Consumption Forecasts'!AI31,
Dashboard!$C$34=Dashboard!$V$40, 'Consumption Forecasts'!AI62,
Dashboard!$C$34=Dashboard!$V$38, 'Consumption Forecasts'!AI38,
Dashboard!$C$34=Dashboard!$V$39, 'Consumption Forecasts'!AI45,
Dashboard!$C$34=Dashboard!$V$41, 'Consumption Forecasts'!AI96,
Dashboard!$C$34=Dashboard!$V$42, 'Consumption Forecasts'!AI103,
Dashboard!$C$34=Dashboard!$V$43, 'Consumption Forecasts'!AI89,
Dashboard!$C$34=Dashboard!$V$36, 'Consumption Forecasts'!AI79)</f>
        <v>1910.7288376835515</v>
      </c>
      <c r="AJ21" s="2">
        <f>_xlfn.IFS(Dashboard!$C$34=Dashboard!$V$37,'Consumption Forecasts'!AJ31,
Dashboard!$C$34=Dashboard!$V$40, 'Consumption Forecasts'!AJ62,
Dashboard!$C$34=Dashboard!$V$38, 'Consumption Forecasts'!AJ38,
Dashboard!$C$34=Dashboard!$V$39, 'Consumption Forecasts'!AJ45,
Dashboard!$C$34=Dashboard!$V$41, 'Consumption Forecasts'!AJ96,
Dashboard!$C$34=Dashboard!$V$42, 'Consumption Forecasts'!AJ103,
Dashboard!$C$34=Dashboard!$V$43, 'Consumption Forecasts'!AJ89,
Dashboard!$C$34=Dashboard!$V$36, 'Consumption Forecasts'!AJ79)</f>
        <v>1917.9173162021368</v>
      </c>
      <c r="AK21" s="2">
        <f>_xlfn.IFS(Dashboard!$C$34=Dashboard!$V$37,'Consumption Forecasts'!AK31,
Dashboard!$C$34=Dashboard!$V$40, 'Consumption Forecasts'!AK62,
Dashboard!$C$34=Dashboard!$V$38, 'Consumption Forecasts'!AK38,
Dashboard!$C$34=Dashboard!$V$39, 'Consumption Forecasts'!AK45,
Dashboard!$C$34=Dashboard!$V$41, 'Consumption Forecasts'!AK96,
Dashboard!$C$34=Dashboard!$V$42, 'Consumption Forecasts'!AK103,
Dashboard!$C$34=Dashboard!$V$43, 'Consumption Forecasts'!AK89,
Dashboard!$C$34=Dashboard!$V$36, 'Consumption Forecasts'!AK79)</f>
        <v>1925.1057947207223</v>
      </c>
      <c r="AL21" s="2">
        <f>_xlfn.IFS(Dashboard!$C$34=Dashboard!$V$37,'Consumption Forecasts'!AL31,
Dashboard!$C$34=Dashboard!$V$40, 'Consumption Forecasts'!AL62,
Dashboard!$C$34=Dashboard!$V$38, 'Consumption Forecasts'!AL38,
Dashboard!$C$34=Dashboard!$V$39, 'Consumption Forecasts'!AL45,
Dashboard!$C$34=Dashboard!$V$41, 'Consumption Forecasts'!AL96,
Dashboard!$C$34=Dashboard!$V$42, 'Consumption Forecasts'!AL103,
Dashboard!$C$34=Dashboard!$V$43, 'Consumption Forecasts'!AL89,
Dashboard!$C$34=Dashboard!$V$36, 'Consumption Forecasts'!AL79)</f>
        <v>1932.2942732393078</v>
      </c>
      <c r="AM21" s="2">
        <f>_xlfn.IFS(Dashboard!$C$34=Dashboard!$V$37,'Consumption Forecasts'!AM31,
Dashboard!$C$34=Dashboard!$V$40, 'Consumption Forecasts'!AM62,
Dashboard!$C$34=Dashboard!$V$38, 'Consumption Forecasts'!AM38,
Dashboard!$C$34=Dashboard!$V$39, 'Consumption Forecasts'!AM45,
Dashboard!$C$34=Dashboard!$V$41, 'Consumption Forecasts'!AM96,
Dashboard!$C$34=Dashboard!$V$42, 'Consumption Forecasts'!AM103,
Dashboard!$C$34=Dashboard!$V$43, 'Consumption Forecasts'!AM89,
Dashboard!$C$34=Dashboard!$V$36, 'Consumption Forecasts'!AM79)</f>
        <v>1939.4827517578931</v>
      </c>
      <c r="AN21" s="2">
        <f>_xlfn.IFS(Dashboard!$C$34=Dashboard!$V$37,'Consumption Forecasts'!AN31,
Dashboard!$C$34=Dashboard!$V$40, 'Consumption Forecasts'!AN62,
Dashboard!$C$34=Dashboard!$V$38, 'Consumption Forecasts'!AN38,
Dashboard!$C$34=Dashboard!$V$39, 'Consumption Forecasts'!AN45,
Dashboard!$C$34=Dashboard!$V$41, 'Consumption Forecasts'!AN96,
Dashboard!$C$34=Dashboard!$V$42, 'Consumption Forecasts'!AN103,
Dashboard!$C$34=Dashboard!$V$43, 'Consumption Forecasts'!AN89,
Dashboard!$C$34=Dashboard!$V$36, 'Consumption Forecasts'!AN79)</f>
        <v>1946.6712302764786</v>
      </c>
      <c r="AO21" s="2">
        <f>_xlfn.IFS(Dashboard!$C$34=Dashboard!$V$37,'Consumption Forecasts'!AO31,
Dashboard!$C$34=Dashboard!$V$40, 'Consumption Forecasts'!AO62,
Dashboard!$C$34=Dashboard!$V$38, 'Consumption Forecasts'!AO38,
Dashboard!$C$34=Dashboard!$V$39, 'Consumption Forecasts'!AO45,
Dashboard!$C$34=Dashboard!$V$41, 'Consumption Forecasts'!AO96,
Dashboard!$C$34=Dashboard!$V$42, 'Consumption Forecasts'!AO103,
Dashboard!$C$34=Dashboard!$V$43, 'Consumption Forecasts'!AO89,
Dashboard!$C$34=Dashboard!$V$36, 'Consumption Forecasts'!AO79)</f>
        <v>1953.8597087950639</v>
      </c>
      <c r="AP21" s="2">
        <f>_xlfn.IFS(Dashboard!$C$34=Dashboard!$V$37,'Consumption Forecasts'!AP31,
Dashboard!$C$34=Dashboard!$V$40, 'Consumption Forecasts'!AP62,
Dashboard!$C$34=Dashboard!$V$38, 'Consumption Forecasts'!AP38,
Dashboard!$C$34=Dashboard!$V$39, 'Consumption Forecasts'!AP45,
Dashboard!$C$34=Dashboard!$V$41, 'Consumption Forecasts'!AP96,
Dashboard!$C$34=Dashboard!$V$42, 'Consumption Forecasts'!AP103,
Dashboard!$C$34=Dashboard!$V$43, 'Consumption Forecasts'!AP89,
Dashboard!$C$34=Dashboard!$V$36, 'Consumption Forecasts'!AP79)</f>
        <v>1961.0481873136494</v>
      </c>
      <c r="AQ21" s="2">
        <f>_xlfn.IFS(Dashboard!$C$34=Dashboard!$V$37,'Consumption Forecasts'!AQ31,
Dashboard!$C$34=Dashboard!$V$40, 'Consumption Forecasts'!AQ62,
Dashboard!$C$34=Dashboard!$V$38, 'Consumption Forecasts'!AQ38,
Dashboard!$C$34=Dashboard!$V$39, 'Consumption Forecasts'!AQ45,
Dashboard!$C$34=Dashboard!$V$41, 'Consumption Forecasts'!AQ96,
Dashboard!$C$34=Dashboard!$V$42, 'Consumption Forecasts'!AQ103,
Dashboard!$C$34=Dashboard!$V$43, 'Consumption Forecasts'!AQ89,
Dashboard!$C$34=Dashboard!$V$36, 'Consumption Forecasts'!AQ79)</f>
        <v>1968.2366658322348</v>
      </c>
      <c r="AR21" s="2">
        <f>_xlfn.IFS(Dashboard!$C$34=Dashboard!$V$37,'Consumption Forecasts'!AR31,
Dashboard!$C$34=Dashboard!$V$40, 'Consumption Forecasts'!AR62,
Dashboard!$C$34=Dashboard!$V$38, 'Consumption Forecasts'!AR38,
Dashboard!$C$34=Dashboard!$V$39, 'Consumption Forecasts'!AR45,
Dashboard!$C$34=Dashboard!$V$41, 'Consumption Forecasts'!AR96,
Dashboard!$C$34=Dashboard!$V$42, 'Consumption Forecasts'!AR103,
Dashboard!$C$34=Dashboard!$V$43, 'Consumption Forecasts'!AR89,
Dashboard!$C$34=Dashboard!$V$36, 'Consumption Forecasts'!AR79)</f>
        <v>1975.4251443508201</v>
      </c>
      <c r="AS21" s="2">
        <f>_xlfn.IFS(Dashboard!$C$34=Dashboard!$V$37,'Consumption Forecasts'!AS31,
Dashboard!$C$34=Dashboard!$V$40, 'Consumption Forecasts'!AS62,
Dashboard!$C$34=Dashboard!$V$38, 'Consumption Forecasts'!AS38,
Dashboard!$C$34=Dashboard!$V$39, 'Consumption Forecasts'!AS45,
Dashboard!$C$34=Dashboard!$V$41, 'Consumption Forecasts'!AS96,
Dashboard!$C$34=Dashboard!$V$42, 'Consumption Forecasts'!AS103,
Dashboard!$C$34=Dashboard!$V$43, 'Consumption Forecasts'!AS89,
Dashboard!$C$34=Dashboard!$V$36, 'Consumption Forecasts'!AS79)</f>
        <v>1982.6136228694056</v>
      </c>
      <c r="AT21" s="2">
        <f>_xlfn.IFS(Dashboard!$C$34=Dashboard!$V$37,'Consumption Forecasts'!AT31,
Dashboard!$C$34=Dashboard!$V$40, 'Consumption Forecasts'!AT62,
Dashboard!$C$34=Dashboard!$V$38, 'Consumption Forecasts'!AT38,
Dashboard!$C$34=Dashboard!$V$39, 'Consumption Forecasts'!AT45,
Dashboard!$C$34=Dashboard!$V$41, 'Consumption Forecasts'!AT96,
Dashboard!$C$34=Dashboard!$V$42, 'Consumption Forecasts'!AT103,
Dashboard!$C$34=Dashboard!$V$43, 'Consumption Forecasts'!AT89,
Dashboard!$C$34=Dashboard!$V$36, 'Consumption Forecasts'!AT79)</f>
        <v>1989.8021013879909</v>
      </c>
      <c r="AU21" s="2">
        <f>_xlfn.IFS(Dashboard!$C$34=Dashboard!$V$37,'Consumption Forecasts'!AU31,
Dashboard!$C$34=Dashboard!$V$40, 'Consumption Forecasts'!AU62,
Dashboard!$C$34=Dashboard!$V$38, 'Consumption Forecasts'!AU38,
Dashboard!$C$34=Dashboard!$V$39, 'Consumption Forecasts'!AU45,
Dashboard!$C$34=Dashboard!$V$41, 'Consumption Forecasts'!AU96,
Dashboard!$C$34=Dashboard!$V$42, 'Consumption Forecasts'!AU103,
Dashboard!$C$34=Dashboard!$V$43, 'Consumption Forecasts'!AU89,
Dashboard!$C$34=Dashboard!$V$36, 'Consumption Forecasts'!AU79)</f>
        <v>1996.9905799065764</v>
      </c>
      <c r="AV21" s="24" t="s">
        <v>318</v>
      </c>
    </row>
    <row r="22" spans="1:48" x14ac:dyDescent="0.3">
      <c r="A22" s="245" t="s">
        <v>6</v>
      </c>
      <c r="B22" s="251">
        <f t="shared" ref="B22:V22" si="15">B$24*B59</f>
        <v>386.69311666569712</v>
      </c>
      <c r="C22" s="251">
        <f t="shared" si="15"/>
        <v>394.79226401493332</v>
      </c>
      <c r="D22" s="251">
        <f t="shared" si="15"/>
        <v>398.81920149547631</v>
      </c>
      <c r="E22" s="251">
        <f t="shared" si="15"/>
        <v>403.47565510684342</v>
      </c>
      <c r="F22" s="251">
        <f t="shared" si="15"/>
        <v>412.57148804804513</v>
      </c>
      <c r="G22" s="251">
        <f t="shared" si="15"/>
        <v>410.37284927072233</v>
      </c>
      <c r="H22" s="251">
        <f t="shared" si="15"/>
        <v>413.13228760811563</v>
      </c>
      <c r="I22" s="251">
        <f t="shared" si="15"/>
        <v>419.75760963144734</v>
      </c>
      <c r="J22" s="251">
        <f t="shared" si="15"/>
        <v>422.57862061511207</v>
      </c>
      <c r="K22" s="251">
        <f t="shared" si="15"/>
        <v>422.1156384805455</v>
      </c>
      <c r="L22" s="251">
        <f t="shared" si="15"/>
        <v>419.41526679246738</v>
      </c>
      <c r="M22" s="251">
        <f t="shared" si="15"/>
        <v>418.10418850729411</v>
      </c>
      <c r="N22" s="251">
        <f t="shared" si="15"/>
        <v>418.05241417509916</v>
      </c>
      <c r="O22" s="251">
        <f t="shared" si="15"/>
        <v>421.77206799478824</v>
      </c>
      <c r="P22" s="251">
        <f t="shared" si="15"/>
        <v>425.74297042623283</v>
      </c>
      <c r="Q22" s="251">
        <f t="shared" si="15"/>
        <v>418.15182000192692</v>
      </c>
      <c r="R22" s="251">
        <f t="shared" si="15"/>
        <v>422.91650032905727</v>
      </c>
      <c r="S22" s="251">
        <f t="shared" si="15"/>
        <v>419.604448350528</v>
      </c>
      <c r="T22" s="251">
        <f t="shared" si="15"/>
        <v>426.92916852912742</v>
      </c>
      <c r="U22" s="251">
        <f t="shared" si="15"/>
        <v>413.33877484231448</v>
      </c>
      <c r="V22" s="251">
        <f t="shared" si="15"/>
        <v>419.04561680782132</v>
      </c>
      <c r="Y22" s="538"/>
      <c r="Z22" s="3" t="s">
        <v>6</v>
      </c>
      <c r="AA22" s="2">
        <f>_xlfn.IFS(Dashboard!$C$34=Dashboard!$V$37,'Consumption Forecasts'!AA32,
Dashboard!$C$34=Dashboard!$V$40, 'Consumption Forecasts'!AA63,
Dashboard!$C$34=Dashboard!$V$38, 'Consumption Forecasts'!AA39,
Dashboard!$C$34=Dashboard!$V$39, 'Consumption Forecasts'!AA46,
Dashboard!$C$34=Dashboard!$V$41, 'Consumption Forecasts'!AA97,
Dashboard!$C$34=Dashboard!$V$42, 'Consumption Forecasts'!AA104,
Dashboard!$C$34=Dashboard!$V$43, 'Consumption Forecasts'!AA90,
Dashboard!$C$34=Dashboard!$V$36, 'Consumption Forecasts'!AA80)</f>
        <v>377.58416084422981</v>
      </c>
      <c r="AB22" s="2">
        <f>_xlfn.IFS(Dashboard!$C$34=Dashboard!$V$37,'Consumption Forecasts'!AB32,
Dashboard!$C$34=Dashboard!$V$40, 'Consumption Forecasts'!AB63,
Dashboard!$C$34=Dashboard!$V$38, 'Consumption Forecasts'!AB39,
Dashboard!$C$34=Dashboard!$V$39, 'Consumption Forecasts'!AB46,
Dashboard!$C$34=Dashboard!$V$41, 'Consumption Forecasts'!AB97,
Dashboard!$C$34=Dashboard!$V$42, 'Consumption Forecasts'!AB104,
Dashboard!$C$34=Dashboard!$V$43, 'Consumption Forecasts'!AB90,
Dashboard!$C$34=Dashboard!$V$36, 'Consumption Forecasts'!AB80)</f>
        <v>280.61750017103373</v>
      </c>
      <c r="AC22" s="2">
        <f>_xlfn.IFS(Dashboard!$C$34=Dashboard!$V$37,'Consumption Forecasts'!AC32,
Dashboard!$C$34=Dashboard!$V$40, 'Consumption Forecasts'!AC63,
Dashboard!$C$34=Dashboard!$V$38, 'Consumption Forecasts'!AC39,
Dashboard!$C$34=Dashboard!$V$39, 'Consumption Forecasts'!AC46,
Dashboard!$C$34=Dashboard!$V$41, 'Consumption Forecasts'!AC97,
Dashboard!$C$34=Dashboard!$V$42, 'Consumption Forecasts'!AC104,
Dashboard!$C$34=Dashboard!$V$43, 'Consumption Forecasts'!AC90,
Dashboard!$C$34=Dashboard!$V$36, 'Consumption Forecasts'!AC80)</f>
        <v>232.76491862567812</v>
      </c>
      <c r="AD22" s="2">
        <f>_xlfn.IFS(Dashboard!$C$34=Dashboard!$V$37,'Consumption Forecasts'!AD32,
Dashboard!$C$34=Dashboard!$V$40, 'Consumption Forecasts'!AD63,
Dashboard!$C$34=Dashboard!$V$38, 'Consumption Forecasts'!AD39,
Dashboard!$C$34=Dashboard!$V$39, 'Consumption Forecasts'!AD46,
Dashboard!$C$34=Dashboard!$V$41, 'Consumption Forecasts'!AD97,
Dashboard!$C$34=Dashboard!$V$42, 'Consumption Forecasts'!AD104,
Dashboard!$C$34=Dashboard!$V$43, 'Consumption Forecasts'!AD90,
Dashboard!$C$34=Dashboard!$V$36, 'Consumption Forecasts'!AD80)</f>
        <v>183.66062836116615</v>
      </c>
      <c r="AE22" s="2">
        <f>_xlfn.IFS(Dashboard!$C$34=Dashboard!$V$37,'Consumption Forecasts'!AE32,
Dashboard!$C$34=Dashboard!$V$40, 'Consumption Forecasts'!AE63,
Dashboard!$C$34=Dashboard!$V$38, 'Consumption Forecasts'!AE39,
Dashboard!$C$34=Dashboard!$V$39, 'Consumption Forecasts'!AE46,
Dashboard!$C$34=Dashboard!$V$41, 'Consumption Forecasts'!AE97,
Dashboard!$C$34=Dashboard!$V$42, 'Consumption Forecasts'!AE104,
Dashboard!$C$34=Dashboard!$V$43, 'Consumption Forecasts'!AE90,
Dashboard!$C$34=Dashboard!$V$36, 'Consumption Forecasts'!AE80)</f>
        <v>134.50173010380621</v>
      </c>
      <c r="AF22" s="2">
        <f>_xlfn.IFS(Dashboard!$C$34=Dashboard!$V$37,'Consumption Forecasts'!AF32,
Dashboard!$C$34=Dashboard!$V$40, 'Consumption Forecasts'!AF63,
Dashboard!$C$34=Dashboard!$V$38, 'Consumption Forecasts'!AF39,
Dashboard!$C$34=Dashboard!$V$39, 'Consumption Forecasts'!AF46,
Dashboard!$C$34=Dashboard!$V$41, 'Consumption Forecasts'!AF97,
Dashboard!$C$34=Dashboard!$V$42, 'Consumption Forecasts'!AF104,
Dashboard!$C$34=Dashboard!$V$43, 'Consumption Forecasts'!AF90,
Dashboard!$C$34=Dashboard!$V$36, 'Consumption Forecasts'!AF80)</f>
        <v>134.5758732022307</v>
      </c>
      <c r="AG22" s="2">
        <f>_xlfn.IFS(Dashboard!$C$34=Dashboard!$V$37,'Consumption Forecasts'!AG32,
Dashboard!$C$34=Dashboard!$V$40, 'Consumption Forecasts'!AG63,
Dashboard!$C$34=Dashboard!$V$38, 'Consumption Forecasts'!AG39,
Dashboard!$C$34=Dashboard!$V$39, 'Consumption Forecasts'!AG46,
Dashboard!$C$34=Dashboard!$V$41, 'Consumption Forecasts'!AG97,
Dashboard!$C$34=Dashboard!$V$42, 'Consumption Forecasts'!AG104,
Dashboard!$C$34=Dashboard!$V$43, 'Consumption Forecasts'!AG90,
Dashboard!$C$34=Dashboard!$V$36, 'Consumption Forecasts'!AG80)</f>
        <v>135.8265748915158</v>
      </c>
      <c r="AH22" s="2">
        <f>_xlfn.IFS(Dashboard!$C$34=Dashboard!$V$37,'Consumption Forecasts'!AH32,
Dashboard!$C$34=Dashboard!$V$40, 'Consumption Forecasts'!AH63,
Dashboard!$C$34=Dashboard!$V$38, 'Consumption Forecasts'!AH39,
Dashboard!$C$34=Dashboard!$V$39, 'Consumption Forecasts'!AH46,
Dashboard!$C$34=Dashboard!$V$41, 'Consumption Forecasts'!AH97,
Dashboard!$C$34=Dashboard!$V$42, 'Consumption Forecasts'!AH104,
Dashboard!$C$34=Dashboard!$V$43, 'Consumption Forecasts'!AH90,
Dashboard!$C$34=Dashboard!$V$36, 'Consumption Forecasts'!AH80)</f>
        <v>134.72936131107369</v>
      </c>
      <c r="AI22" s="2">
        <f>_xlfn.IFS(Dashboard!$C$34=Dashboard!$V$37,'Consumption Forecasts'!AI32,
Dashboard!$C$34=Dashboard!$V$40, 'Consumption Forecasts'!AI63,
Dashboard!$C$34=Dashboard!$V$38, 'Consumption Forecasts'!AI39,
Dashboard!$C$34=Dashboard!$V$39, 'Consumption Forecasts'!AI46,
Dashboard!$C$34=Dashboard!$V$41, 'Consumption Forecasts'!AI97,
Dashboard!$C$34=Dashboard!$V$42, 'Consumption Forecasts'!AI104,
Dashboard!$C$34=Dashboard!$V$43, 'Consumption Forecasts'!AI90,
Dashboard!$C$34=Dashboard!$V$36, 'Consumption Forecasts'!AI80)</f>
        <v>132.44262810436967</v>
      </c>
      <c r="AJ22" s="2">
        <f>_xlfn.IFS(Dashboard!$C$34=Dashboard!$V$37,'Consumption Forecasts'!AJ32,
Dashboard!$C$34=Dashboard!$V$40, 'Consumption Forecasts'!AJ63,
Dashboard!$C$34=Dashboard!$V$38, 'Consumption Forecasts'!AJ39,
Dashboard!$C$34=Dashboard!$V$39, 'Consumption Forecasts'!AJ46,
Dashboard!$C$34=Dashboard!$V$41, 'Consumption Forecasts'!AJ97,
Dashboard!$C$34=Dashboard!$V$42, 'Consumption Forecasts'!AJ104,
Dashboard!$C$34=Dashboard!$V$43, 'Consumption Forecasts'!AJ90,
Dashboard!$C$34=Dashboard!$V$36, 'Consumption Forecasts'!AJ80)</f>
        <v>128.9614197530864</v>
      </c>
      <c r="AK22" s="2">
        <f>_xlfn.IFS(Dashboard!$C$34=Dashboard!$V$37,'Consumption Forecasts'!AK32,
Dashboard!$C$34=Dashboard!$V$40, 'Consumption Forecasts'!AK63,
Dashboard!$C$34=Dashboard!$V$38, 'Consumption Forecasts'!AK39,
Dashboard!$C$34=Dashboard!$V$39, 'Consumption Forecasts'!AK46,
Dashboard!$C$34=Dashboard!$V$41, 'Consumption Forecasts'!AK97,
Dashboard!$C$34=Dashboard!$V$42, 'Consumption Forecasts'!AK104,
Dashboard!$C$34=Dashboard!$V$43, 'Consumption Forecasts'!AK90,
Dashboard!$C$34=Dashboard!$V$36, 'Consumption Forecasts'!AK80)</f>
        <v>126.68315586484448</v>
      </c>
      <c r="AL22" s="2">
        <f>_xlfn.IFS(Dashboard!$C$34=Dashboard!$V$37,'Consumption Forecasts'!AL32,
Dashboard!$C$34=Dashboard!$V$40, 'Consumption Forecasts'!AL63,
Dashboard!$C$34=Dashboard!$V$38, 'Consumption Forecasts'!AL39,
Dashboard!$C$34=Dashboard!$V$39, 'Consumption Forecasts'!AL46,
Dashboard!$C$34=Dashboard!$V$41, 'Consumption Forecasts'!AL97,
Dashboard!$C$34=Dashboard!$V$42, 'Consumption Forecasts'!AL104,
Dashboard!$C$34=Dashboard!$V$43, 'Consumption Forecasts'!AL90,
Dashboard!$C$34=Dashboard!$V$36, 'Consumption Forecasts'!AL80)</f>
        <v>124.40931118033922</v>
      </c>
      <c r="AM22" s="2">
        <f>_xlfn.IFS(Dashboard!$C$34=Dashboard!$V$37,'Consumption Forecasts'!AM32,
Dashboard!$C$34=Dashboard!$V$40, 'Consumption Forecasts'!AM63,
Dashboard!$C$34=Dashboard!$V$38, 'Consumption Forecasts'!AM39,
Dashboard!$C$34=Dashboard!$V$39, 'Consumption Forecasts'!AM46,
Dashboard!$C$34=Dashboard!$V$41, 'Consumption Forecasts'!AM97,
Dashboard!$C$34=Dashboard!$V$42, 'Consumption Forecasts'!AM104,
Dashboard!$C$34=Dashboard!$V$43, 'Consumption Forecasts'!AM90,
Dashboard!$C$34=Dashboard!$V$36, 'Consumption Forecasts'!AM80)</f>
        <v>122.11498257839722</v>
      </c>
      <c r="AN22" s="2">
        <f>_xlfn.IFS(Dashboard!$C$34=Dashboard!$V$37,'Consumption Forecasts'!AN32,
Dashboard!$C$34=Dashboard!$V$40, 'Consumption Forecasts'!AN63,
Dashboard!$C$34=Dashboard!$V$38, 'Consumption Forecasts'!AN39,
Dashboard!$C$34=Dashboard!$V$39, 'Consumption Forecasts'!AN46,
Dashboard!$C$34=Dashboard!$V$41, 'Consumption Forecasts'!AN97,
Dashboard!$C$34=Dashboard!$V$42, 'Consumption Forecasts'!AN104,
Dashboard!$C$34=Dashboard!$V$43, 'Consumption Forecasts'!AN90,
Dashboard!$C$34=Dashboard!$V$36, 'Consumption Forecasts'!AN80)</f>
        <v>119.82672079719505</v>
      </c>
      <c r="AO22" s="2">
        <f>_xlfn.IFS(Dashboard!$C$34=Dashboard!$V$37,'Consumption Forecasts'!AO32,
Dashboard!$C$34=Dashboard!$V$40, 'Consumption Forecasts'!AO63,
Dashboard!$C$34=Dashboard!$V$38, 'Consumption Forecasts'!AO39,
Dashboard!$C$34=Dashboard!$V$39, 'Consumption Forecasts'!AO46,
Dashboard!$C$34=Dashboard!$V$41, 'Consumption Forecasts'!AO97,
Dashboard!$C$34=Dashboard!$V$42, 'Consumption Forecasts'!AO104,
Dashboard!$C$34=Dashboard!$V$43, 'Consumption Forecasts'!AO90,
Dashboard!$C$34=Dashboard!$V$36, 'Consumption Forecasts'!AO80)</f>
        <v>118.72250809986659</v>
      </c>
      <c r="AP22" s="2">
        <f>_xlfn.IFS(Dashboard!$C$34=Dashboard!$V$37,'Consumption Forecasts'!AP32,
Dashboard!$C$34=Dashboard!$V$40, 'Consumption Forecasts'!AP63,
Dashboard!$C$34=Dashboard!$V$38, 'Consumption Forecasts'!AP39,
Dashboard!$C$34=Dashboard!$V$39, 'Consumption Forecasts'!AP46,
Dashboard!$C$34=Dashboard!$V$41, 'Consumption Forecasts'!AP97,
Dashboard!$C$34=Dashboard!$V$42, 'Consumption Forecasts'!AP104,
Dashboard!$C$34=Dashboard!$V$43, 'Consumption Forecasts'!AP90,
Dashboard!$C$34=Dashboard!$V$36, 'Consumption Forecasts'!AP80)</f>
        <v>116.39811912225706</v>
      </c>
      <c r="AQ22" s="2">
        <f>_xlfn.IFS(Dashboard!$C$34=Dashboard!$V$37,'Consumption Forecasts'!AQ32,
Dashboard!$C$34=Dashboard!$V$40, 'Consumption Forecasts'!AQ63,
Dashboard!$C$34=Dashboard!$V$38, 'Consumption Forecasts'!AQ39,
Dashboard!$C$34=Dashboard!$V$39, 'Consumption Forecasts'!AQ46,
Dashboard!$C$34=Dashboard!$V$41, 'Consumption Forecasts'!AQ97,
Dashboard!$C$34=Dashboard!$V$42, 'Consumption Forecasts'!AQ104,
Dashboard!$C$34=Dashboard!$V$43, 'Consumption Forecasts'!AQ90,
Dashboard!$C$34=Dashboard!$V$36, 'Consumption Forecasts'!AQ80)</f>
        <v>115.2662841034934</v>
      </c>
      <c r="AR22" s="2">
        <f>_xlfn.IFS(Dashboard!$C$34=Dashboard!$V$37,'Consumption Forecasts'!AR32,
Dashboard!$C$34=Dashboard!$V$40, 'Consumption Forecasts'!AR63,
Dashboard!$C$34=Dashboard!$V$38, 'Consumption Forecasts'!AR39,
Dashboard!$C$34=Dashboard!$V$39, 'Consumption Forecasts'!AR46,
Dashboard!$C$34=Dashboard!$V$41, 'Consumption Forecasts'!AR97,
Dashboard!$C$34=Dashboard!$V$42, 'Consumption Forecasts'!AR104,
Dashboard!$C$34=Dashboard!$V$43, 'Consumption Forecasts'!AR90,
Dashboard!$C$34=Dashboard!$V$36, 'Consumption Forecasts'!AR80)</f>
        <v>114.15188825659597</v>
      </c>
      <c r="AS22" s="2">
        <f>_xlfn.IFS(Dashboard!$C$34=Dashboard!$V$37,'Consumption Forecasts'!AS32,
Dashboard!$C$34=Dashboard!$V$40, 'Consumption Forecasts'!AS63,
Dashboard!$C$34=Dashboard!$V$38, 'Consumption Forecasts'!AS39,
Dashboard!$C$34=Dashboard!$V$39, 'Consumption Forecasts'!AS46,
Dashboard!$C$34=Dashboard!$V$41, 'Consumption Forecasts'!AS97,
Dashboard!$C$34=Dashboard!$V$42, 'Consumption Forecasts'!AS104,
Dashboard!$C$34=Dashboard!$V$43, 'Consumption Forecasts'!AS90,
Dashboard!$C$34=Dashboard!$V$36, 'Consumption Forecasts'!AS80)</f>
        <v>113.00201998724219</v>
      </c>
      <c r="AT22" s="2">
        <f>_xlfn.IFS(Dashboard!$C$34=Dashboard!$V$37,'Consumption Forecasts'!AT32,
Dashboard!$C$34=Dashboard!$V$40, 'Consumption Forecasts'!AT63,
Dashboard!$C$34=Dashboard!$V$38, 'Consumption Forecasts'!AT39,
Dashboard!$C$34=Dashboard!$V$39, 'Consumption Forecasts'!AT46,
Dashboard!$C$34=Dashboard!$V$41, 'Consumption Forecasts'!AT97,
Dashboard!$C$34=Dashboard!$V$42, 'Consumption Forecasts'!AT104,
Dashboard!$C$34=Dashboard!$V$43, 'Consumption Forecasts'!AT90,
Dashboard!$C$34=Dashboard!$V$36, 'Consumption Forecasts'!AT80)</f>
        <v>112.3853250287667</v>
      </c>
      <c r="AU22" s="2">
        <f>_xlfn.IFS(Dashboard!$C$34=Dashboard!$V$37,'Consumption Forecasts'!AU32,
Dashboard!$C$34=Dashboard!$V$40, 'Consumption Forecasts'!AU63,
Dashboard!$C$34=Dashboard!$V$38, 'Consumption Forecasts'!AU39,
Dashboard!$C$34=Dashboard!$V$39, 'Consumption Forecasts'!AU46,
Dashboard!$C$34=Dashboard!$V$41, 'Consumption Forecasts'!AU97,
Dashboard!$C$34=Dashboard!$V$42, 'Consumption Forecasts'!AU104,
Dashboard!$C$34=Dashboard!$V$43, 'Consumption Forecasts'!AU90,
Dashboard!$C$34=Dashboard!$V$36, 'Consumption Forecasts'!AU80)</f>
        <v>111.91083788874447</v>
      </c>
      <c r="AV22" s="24" t="s">
        <v>318</v>
      </c>
    </row>
    <row r="23" spans="1:48" x14ac:dyDescent="0.3">
      <c r="A23" s="245" t="s">
        <v>8</v>
      </c>
      <c r="B23" s="251">
        <f t="shared" ref="B23:V23" si="16">B$24*B60</f>
        <v>75.938902135550194</v>
      </c>
      <c r="C23" s="251">
        <f t="shared" si="16"/>
        <v>77.529414951600046</v>
      </c>
      <c r="D23" s="251">
        <f t="shared" si="16"/>
        <v>78.320226057517147</v>
      </c>
      <c r="E23" s="251">
        <f t="shared" si="16"/>
        <v>79.234661716836214</v>
      </c>
      <c r="F23" s="251">
        <f t="shared" si="16"/>
        <v>81.020903927504705</v>
      </c>
      <c r="G23" s="251">
        <f t="shared" si="16"/>
        <v>80.589134631008847</v>
      </c>
      <c r="H23" s="251">
        <f t="shared" si="16"/>
        <v>81.131033901570603</v>
      </c>
      <c r="I23" s="251">
        <f t="shared" si="16"/>
        <v>82.432116488932124</v>
      </c>
      <c r="J23" s="251">
        <f t="shared" si="16"/>
        <v>82.986107412947021</v>
      </c>
      <c r="K23" s="251">
        <f t="shared" si="16"/>
        <v>82.895186852191955</v>
      </c>
      <c r="L23" s="251">
        <f t="shared" si="16"/>
        <v>82.364887106701929</v>
      </c>
      <c r="M23" s="251">
        <f t="shared" si="16"/>
        <v>82.107417187277719</v>
      </c>
      <c r="N23" s="251">
        <f t="shared" si="16"/>
        <v>82.097249729476587</v>
      </c>
      <c r="O23" s="251">
        <f t="shared" si="16"/>
        <v>82.827716384345166</v>
      </c>
      <c r="P23" s="251">
        <f t="shared" si="16"/>
        <v>83.60752331168689</v>
      </c>
      <c r="Q23" s="251">
        <f t="shared" si="16"/>
        <v>82.116771073482539</v>
      </c>
      <c r="R23" s="251">
        <f t="shared" si="16"/>
        <v>83.052460325437707</v>
      </c>
      <c r="S23" s="251">
        <f t="shared" si="16"/>
        <v>82.402038633854232</v>
      </c>
      <c r="T23" s="251">
        <f t="shared" si="16"/>
        <v>83.840469226074561</v>
      </c>
      <c r="U23" s="251">
        <f t="shared" si="16"/>
        <v>81.168461589396429</v>
      </c>
      <c r="V23" s="251">
        <f t="shared" si="16"/>
        <v>82.28888355884061</v>
      </c>
      <c r="Y23" s="538"/>
      <c r="Z23" s="3" t="s">
        <v>8</v>
      </c>
      <c r="AA23" s="2">
        <f>_xlfn.IFS(Dashboard!$C$34=Dashboard!$V$37,'Consumption Forecasts'!AA33,
Dashboard!$C$34=Dashboard!$V$40, 'Consumption Forecasts'!AA64,
Dashboard!$C$34=Dashboard!$V$38, 'Consumption Forecasts'!AA40,
Dashboard!$C$34=Dashboard!$V$39, 'Consumption Forecasts'!AA47,
Dashboard!$C$34=Dashboard!$V$41, 'Consumption Forecasts'!AA98,
Dashboard!$C$34=Dashboard!$V$42, 'Consumption Forecasts'!AA105,
Dashboard!$C$34=Dashboard!$V$43, 'Consumption Forecasts'!AA91,
Dashboard!$C$34=Dashboard!$V$36, 'Consumption Forecasts'!AA81)</f>
        <v>74.150082849993936</v>
      </c>
      <c r="AB23" s="2">
        <f>_xlfn.IFS(Dashboard!$C$34=Dashboard!$V$37,'Consumption Forecasts'!AB33,
Dashboard!$C$34=Dashboard!$V$40, 'Consumption Forecasts'!AB64,
Dashboard!$C$34=Dashboard!$V$38, 'Consumption Forecasts'!AB40,
Dashboard!$C$34=Dashboard!$V$39, 'Consumption Forecasts'!AB47,
Dashboard!$C$34=Dashboard!$V$41, 'Consumption Forecasts'!AB98,
Dashboard!$C$34=Dashboard!$V$42, 'Consumption Forecasts'!AB105,
Dashboard!$C$34=Dashboard!$V$43, 'Consumption Forecasts'!AB91,
Dashboard!$C$34=Dashboard!$V$36, 'Consumption Forecasts'!AB81)</f>
        <v>73.994863461540348</v>
      </c>
      <c r="AC23" s="2">
        <f>_xlfn.IFS(Dashboard!$C$34=Dashboard!$V$37,'Consumption Forecasts'!AC33,
Dashboard!$C$34=Dashboard!$V$40, 'Consumption Forecasts'!AC64,
Dashboard!$C$34=Dashboard!$V$38, 'Consumption Forecasts'!AC40,
Dashboard!$C$34=Dashboard!$V$39, 'Consumption Forecasts'!AC47,
Dashboard!$C$34=Dashboard!$V$41, 'Consumption Forecasts'!AC98,
Dashboard!$C$34=Dashboard!$V$42, 'Consumption Forecasts'!AC105,
Dashboard!$C$34=Dashboard!$V$43, 'Consumption Forecasts'!AC91,
Dashboard!$C$34=Dashboard!$V$36, 'Consumption Forecasts'!AC81)</f>
        <v>73.839644073086745</v>
      </c>
      <c r="AD23" s="2">
        <f>_xlfn.IFS(Dashboard!$C$34=Dashboard!$V$37,'Consumption Forecasts'!AD33,
Dashboard!$C$34=Dashboard!$V$40, 'Consumption Forecasts'!AD64,
Dashboard!$C$34=Dashboard!$V$38, 'Consumption Forecasts'!AD40,
Dashboard!$C$34=Dashboard!$V$39, 'Consumption Forecasts'!AD47,
Dashboard!$C$34=Dashboard!$V$41, 'Consumption Forecasts'!AD98,
Dashboard!$C$34=Dashboard!$V$42, 'Consumption Forecasts'!AD105,
Dashboard!$C$34=Dashboard!$V$43, 'Consumption Forecasts'!AD91,
Dashboard!$C$34=Dashboard!$V$36, 'Consumption Forecasts'!AD81)</f>
        <v>73.684424684633157</v>
      </c>
      <c r="AE23" s="2">
        <f>_xlfn.IFS(Dashboard!$C$34=Dashboard!$V$37,'Consumption Forecasts'!AE33,
Dashboard!$C$34=Dashboard!$V$40, 'Consumption Forecasts'!AE64,
Dashboard!$C$34=Dashboard!$V$38, 'Consumption Forecasts'!AE40,
Dashboard!$C$34=Dashboard!$V$39, 'Consumption Forecasts'!AE47,
Dashboard!$C$34=Dashboard!$V$41, 'Consumption Forecasts'!AE98,
Dashboard!$C$34=Dashboard!$V$42, 'Consumption Forecasts'!AE105,
Dashboard!$C$34=Dashboard!$V$43, 'Consumption Forecasts'!AE91,
Dashboard!$C$34=Dashboard!$V$36, 'Consumption Forecasts'!AE81)</f>
        <v>73.529205296179569</v>
      </c>
      <c r="AF23" s="2">
        <f>_xlfn.IFS(Dashboard!$C$34=Dashboard!$V$37,'Consumption Forecasts'!AF33,
Dashboard!$C$34=Dashboard!$V$40, 'Consumption Forecasts'!AF64,
Dashboard!$C$34=Dashboard!$V$38, 'Consumption Forecasts'!AF40,
Dashboard!$C$34=Dashboard!$V$39, 'Consumption Forecasts'!AF47,
Dashboard!$C$34=Dashboard!$V$41, 'Consumption Forecasts'!AF98,
Dashboard!$C$34=Dashboard!$V$42, 'Consumption Forecasts'!AF105,
Dashboard!$C$34=Dashboard!$V$43, 'Consumption Forecasts'!AF91,
Dashboard!$C$34=Dashboard!$V$36, 'Consumption Forecasts'!AF81)</f>
        <v>73.373985907725967</v>
      </c>
      <c r="AG23" s="2">
        <f>_xlfn.IFS(Dashboard!$C$34=Dashboard!$V$37,'Consumption Forecasts'!AG33,
Dashboard!$C$34=Dashboard!$V$40, 'Consumption Forecasts'!AG64,
Dashboard!$C$34=Dashboard!$V$38, 'Consumption Forecasts'!AG40,
Dashboard!$C$34=Dashboard!$V$39, 'Consumption Forecasts'!AG47,
Dashboard!$C$34=Dashboard!$V$41, 'Consumption Forecasts'!AG98,
Dashboard!$C$34=Dashboard!$V$42, 'Consumption Forecasts'!AG105,
Dashboard!$C$34=Dashboard!$V$43, 'Consumption Forecasts'!AG91,
Dashboard!$C$34=Dashboard!$V$36, 'Consumption Forecasts'!AG81)</f>
        <v>73.218766519272378</v>
      </c>
      <c r="AH23" s="2">
        <f>_xlfn.IFS(Dashboard!$C$34=Dashboard!$V$37,'Consumption Forecasts'!AH33,
Dashboard!$C$34=Dashboard!$V$40, 'Consumption Forecasts'!AH64,
Dashboard!$C$34=Dashboard!$V$38, 'Consumption Forecasts'!AH40,
Dashboard!$C$34=Dashboard!$V$39, 'Consumption Forecasts'!AH47,
Dashboard!$C$34=Dashboard!$V$41, 'Consumption Forecasts'!AH98,
Dashboard!$C$34=Dashboard!$V$42, 'Consumption Forecasts'!AH105,
Dashboard!$C$34=Dashboard!$V$43, 'Consumption Forecasts'!AH91,
Dashboard!$C$34=Dashboard!$V$36, 'Consumption Forecasts'!AH81)</f>
        <v>73.06354713081879</v>
      </c>
      <c r="AI23" s="2">
        <f>_xlfn.IFS(Dashboard!$C$34=Dashboard!$V$37,'Consumption Forecasts'!AI33,
Dashboard!$C$34=Dashboard!$V$40, 'Consumption Forecasts'!AI64,
Dashboard!$C$34=Dashboard!$V$38, 'Consumption Forecasts'!AI40,
Dashboard!$C$34=Dashboard!$V$39, 'Consumption Forecasts'!AI47,
Dashboard!$C$34=Dashboard!$V$41, 'Consumption Forecasts'!AI98,
Dashboard!$C$34=Dashboard!$V$42, 'Consumption Forecasts'!AI105,
Dashboard!$C$34=Dashboard!$V$43, 'Consumption Forecasts'!AI91,
Dashboard!$C$34=Dashboard!$V$36, 'Consumption Forecasts'!AI81)</f>
        <v>72.908327742365188</v>
      </c>
      <c r="AJ23" s="2">
        <f>_xlfn.IFS(Dashboard!$C$34=Dashboard!$V$37,'Consumption Forecasts'!AJ33,
Dashboard!$C$34=Dashboard!$V$40, 'Consumption Forecasts'!AJ64,
Dashboard!$C$34=Dashboard!$V$38, 'Consumption Forecasts'!AJ40,
Dashboard!$C$34=Dashboard!$V$39, 'Consumption Forecasts'!AJ47,
Dashboard!$C$34=Dashboard!$V$41, 'Consumption Forecasts'!AJ98,
Dashboard!$C$34=Dashboard!$V$42, 'Consumption Forecasts'!AJ105,
Dashboard!$C$34=Dashboard!$V$43, 'Consumption Forecasts'!AJ91,
Dashboard!$C$34=Dashboard!$V$36, 'Consumption Forecasts'!AJ81)</f>
        <v>72.7531083539116</v>
      </c>
      <c r="AK23" s="2">
        <f>_xlfn.IFS(Dashboard!$C$34=Dashboard!$V$37,'Consumption Forecasts'!AK33,
Dashboard!$C$34=Dashboard!$V$40, 'Consumption Forecasts'!AK64,
Dashboard!$C$34=Dashboard!$V$38, 'Consumption Forecasts'!AK40,
Dashboard!$C$34=Dashboard!$V$39, 'Consumption Forecasts'!AK47,
Dashboard!$C$34=Dashboard!$V$41, 'Consumption Forecasts'!AK98,
Dashboard!$C$34=Dashboard!$V$42, 'Consumption Forecasts'!AK105,
Dashboard!$C$34=Dashboard!$V$43, 'Consumption Forecasts'!AK91,
Dashboard!$C$34=Dashboard!$V$36, 'Consumption Forecasts'!AK81)</f>
        <v>72.597888965457997</v>
      </c>
      <c r="AL23" s="2">
        <f>_xlfn.IFS(Dashboard!$C$34=Dashboard!$V$37,'Consumption Forecasts'!AL33,
Dashboard!$C$34=Dashboard!$V$40, 'Consumption Forecasts'!AL64,
Dashboard!$C$34=Dashboard!$V$38, 'Consumption Forecasts'!AL40,
Dashboard!$C$34=Dashboard!$V$39, 'Consumption Forecasts'!AL47,
Dashboard!$C$34=Dashboard!$V$41, 'Consumption Forecasts'!AL98,
Dashboard!$C$34=Dashboard!$V$42, 'Consumption Forecasts'!AL105,
Dashboard!$C$34=Dashboard!$V$43, 'Consumption Forecasts'!AL91,
Dashboard!$C$34=Dashboard!$V$36, 'Consumption Forecasts'!AL81)</f>
        <v>72.442669577004409</v>
      </c>
      <c r="AM23" s="2">
        <f>_xlfn.IFS(Dashboard!$C$34=Dashboard!$V$37,'Consumption Forecasts'!AM33,
Dashboard!$C$34=Dashboard!$V$40, 'Consumption Forecasts'!AM64,
Dashboard!$C$34=Dashboard!$V$38, 'Consumption Forecasts'!AM40,
Dashboard!$C$34=Dashboard!$V$39, 'Consumption Forecasts'!AM47,
Dashboard!$C$34=Dashboard!$V$41, 'Consumption Forecasts'!AM98,
Dashboard!$C$34=Dashboard!$V$42, 'Consumption Forecasts'!AM105,
Dashboard!$C$34=Dashboard!$V$43, 'Consumption Forecasts'!AM91,
Dashboard!$C$34=Dashboard!$V$36, 'Consumption Forecasts'!AM81)</f>
        <v>72.287450188550821</v>
      </c>
      <c r="AN23" s="2">
        <f>_xlfn.IFS(Dashboard!$C$34=Dashboard!$V$37,'Consumption Forecasts'!AN33,
Dashboard!$C$34=Dashboard!$V$40, 'Consumption Forecasts'!AN64,
Dashboard!$C$34=Dashboard!$V$38, 'Consumption Forecasts'!AN40,
Dashboard!$C$34=Dashboard!$V$39, 'Consumption Forecasts'!AN47,
Dashboard!$C$34=Dashboard!$V$41, 'Consumption Forecasts'!AN98,
Dashboard!$C$34=Dashboard!$V$42, 'Consumption Forecasts'!AN105,
Dashboard!$C$34=Dashboard!$V$43, 'Consumption Forecasts'!AN91,
Dashboard!$C$34=Dashboard!$V$36, 'Consumption Forecasts'!AN81)</f>
        <v>72.132230800097219</v>
      </c>
      <c r="AO23" s="2">
        <f>_xlfn.IFS(Dashboard!$C$34=Dashboard!$V$37,'Consumption Forecasts'!AO33,
Dashboard!$C$34=Dashboard!$V$40, 'Consumption Forecasts'!AO64,
Dashboard!$C$34=Dashboard!$V$38, 'Consumption Forecasts'!AO40,
Dashboard!$C$34=Dashboard!$V$39, 'Consumption Forecasts'!AO47,
Dashboard!$C$34=Dashboard!$V$41, 'Consumption Forecasts'!AO98,
Dashboard!$C$34=Dashboard!$V$42, 'Consumption Forecasts'!AO105,
Dashboard!$C$34=Dashboard!$V$43, 'Consumption Forecasts'!AO91,
Dashboard!$C$34=Dashboard!$V$36, 'Consumption Forecasts'!AO81)</f>
        <v>71.97701141164363</v>
      </c>
      <c r="AP23" s="2">
        <f>_xlfn.IFS(Dashboard!$C$34=Dashboard!$V$37,'Consumption Forecasts'!AP33,
Dashboard!$C$34=Dashboard!$V$40, 'Consumption Forecasts'!AP64,
Dashboard!$C$34=Dashboard!$V$38, 'Consumption Forecasts'!AP40,
Dashboard!$C$34=Dashboard!$V$39, 'Consumption Forecasts'!AP47,
Dashboard!$C$34=Dashboard!$V$41, 'Consumption Forecasts'!AP98,
Dashboard!$C$34=Dashboard!$V$42, 'Consumption Forecasts'!AP105,
Dashboard!$C$34=Dashboard!$V$43, 'Consumption Forecasts'!AP91,
Dashboard!$C$34=Dashboard!$V$36, 'Consumption Forecasts'!AP81)</f>
        <v>71.821792023190042</v>
      </c>
      <c r="AQ23" s="2">
        <f>_xlfn.IFS(Dashboard!$C$34=Dashboard!$V$37,'Consumption Forecasts'!AQ33,
Dashboard!$C$34=Dashboard!$V$40, 'Consumption Forecasts'!AQ64,
Dashboard!$C$34=Dashboard!$V$38, 'Consumption Forecasts'!AQ40,
Dashboard!$C$34=Dashboard!$V$39, 'Consumption Forecasts'!AQ47,
Dashboard!$C$34=Dashboard!$V$41, 'Consumption Forecasts'!AQ98,
Dashboard!$C$34=Dashboard!$V$42, 'Consumption Forecasts'!AQ105,
Dashboard!$C$34=Dashboard!$V$43, 'Consumption Forecasts'!AQ91,
Dashboard!$C$34=Dashboard!$V$36, 'Consumption Forecasts'!AQ81)</f>
        <v>71.66657263473644</v>
      </c>
      <c r="AR23" s="2">
        <f>_xlfn.IFS(Dashboard!$C$34=Dashboard!$V$37,'Consumption Forecasts'!AR33,
Dashboard!$C$34=Dashboard!$V$40, 'Consumption Forecasts'!AR64,
Dashboard!$C$34=Dashboard!$V$38, 'Consumption Forecasts'!AR40,
Dashboard!$C$34=Dashboard!$V$39, 'Consumption Forecasts'!AR47,
Dashboard!$C$34=Dashboard!$V$41, 'Consumption Forecasts'!AR98,
Dashboard!$C$34=Dashboard!$V$42, 'Consumption Forecasts'!AR105,
Dashboard!$C$34=Dashboard!$V$43, 'Consumption Forecasts'!AR91,
Dashboard!$C$34=Dashboard!$V$36, 'Consumption Forecasts'!AR81)</f>
        <v>71.511353246282852</v>
      </c>
      <c r="AS23" s="2">
        <f>_xlfn.IFS(Dashboard!$C$34=Dashboard!$V$37,'Consumption Forecasts'!AS33,
Dashboard!$C$34=Dashboard!$V$40, 'Consumption Forecasts'!AS64,
Dashboard!$C$34=Dashboard!$V$38, 'Consumption Forecasts'!AS40,
Dashboard!$C$34=Dashboard!$V$39, 'Consumption Forecasts'!AS47,
Dashboard!$C$34=Dashboard!$V$41, 'Consumption Forecasts'!AS98,
Dashboard!$C$34=Dashboard!$V$42, 'Consumption Forecasts'!AS105,
Dashboard!$C$34=Dashboard!$V$43, 'Consumption Forecasts'!AS91,
Dashboard!$C$34=Dashboard!$V$36, 'Consumption Forecasts'!AS81)</f>
        <v>71.356133857829263</v>
      </c>
      <c r="AT23" s="2">
        <f>_xlfn.IFS(Dashboard!$C$34=Dashboard!$V$37,'Consumption Forecasts'!AT33,
Dashboard!$C$34=Dashboard!$V$40, 'Consumption Forecasts'!AT64,
Dashboard!$C$34=Dashboard!$V$38, 'Consumption Forecasts'!AT40,
Dashboard!$C$34=Dashboard!$V$39, 'Consumption Forecasts'!AT47,
Dashboard!$C$34=Dashboard!$V$41, 'Consumption Forecasts'!AT98,
Dashboard!$C$34=Dashboard!$V$42, 'Consumption Forecasts'!AT105,
Dashboard!$C$34=Dashboard!$V$43, 'Consumption Forecasts'!AT91,
Dashboard!$C$34=Dashboard!$V$36, 'Consumption Forecasts'!AT81)</f>
        <v>71.200914469375661</v>
      </c>
      <c r="AU23" s="2">
        <f>_xlfn.IFS(Dashboard!$C$34=Dashboard!$V$37,'Consumption Forecasts'!AU33,
Dashboard!$C$34=Dashboard!$V$40, 'Consumption Forecasts'!AU64,
Dashboard!$C$34=Dashboard!$V$38, 'Consumption Forecasts'!AU40,
Dashboard!$C$34=Dashboard!$V$39, 'Consumption Forecasts'!AU47,
Dashboard!$C$34=Dashboard!$V$41, 'Consumption Forecasts'!AU98,
Dashboard!$C$34=Dashboard!$V$42, 'Consumption Forecasts'!AU105,
Dashboard!$C$34=Dashboard!$V$43, 'Consumption Forecasts'!AU91,
Dashboard!$C$34=Dashboard!$V$36, 'Consumption Forecasts'!AU81)</f>
        <v>71.045695080922073</v>
      </c>
      <c r="AV23" s="24" t="s">
        <v>318</v>
      </c>
    </row>
    <row r="24" spans="1:48" ht="15" thickBot="1" x14ac:dyDescent="0.35">
      <c r="A24" s="252" t="s">
        <v>16</v>
      </c>
      <c r="B24" s="253">
        <v>18793.705138653066</v>
      </c>
      <c r="C24" s="253">
        <v>19187.332489634959</v>
      </c>
      <c r="D24" s="253">
        <v>19383.046021527334</v>
      </c>
      <c r="E24" s="253">
        <v>19609.354720576419</v>
      </c>
      <c r="F24" s="253">
        <v>20051.42207300663</v>
      </c>
      <c r="G24" s="253">
        <v>19944.565842299176</v>
      </c>
      <c r="H24" s="253">
        <v>20078.677540248278</v>
      </c>
      <c r="I24" s="253">
        <v>20400.675380884179</v>
      </c>
      <c r="J24" s="253">
        <v>20537.779576265366</v>
      </c>
      <c r="K24" s="253">
        <v>20515.278142062103</v>
      </c>
      <c r="L24" s="253">
        <v>20384.037147373336</v>
      </c>
      <c r="M24" s="253">
        <v>20320.317319832313</v>
      </c>
      <c r="N24" s="253">
        <v>20317.801031098214</v>
      </c>
      <c r="O24" s="253">
        <v>20498.580243585555</v>
      </c>
      <c r="P24" s="253">
        <v>20691.570411278262</v>
      </c>
      <c r="Q24" s="253">
        <v>20322.632262164785</v>
      </c>
      <c r="R24" s="253">
        <v>20554.200897055802</v>
      </c>
      <c r="S24" s="253">
        <v>20393.231576409256</v>
      </c>
      <c r="T24" s="253">
        <v>20749.220926431099</v>
      </c>
      <c r="U24" s="253">
        <v>20090.146443826045</v>
      </c>
      <c r="V24" s="253">
        <v>20368.340844401442</v>
      </c>
      <c r="W24">
        <v>20432.053954816529</v>
      </c>
      <c r="Y24" s="539"/>
      <c r="Z24" s="292" t="s">
        <v>16</v>
      </c>
      <c r="AA24" s="8">
        <f>SUM(AA19:AA23)</f>
        <v>18351</v>
      </c>
      <c r="AB24" s="8">
        <f t="shared" ref="AB24:AU24" si="17">SUM(AB19:AB23)</f>
        <v>17905.309218385348</v>
      </c>
      <c r="AC24" s="8">
        <f t="shared" si="17"/>
        <v>17508.732515898548</v>
      </c>
      <c r="AD24" s="8">
        <f t="shared" si="17"/>
        <v>17110.904104692585</v>
      </c>
      <c r="AE24" s="8">
        <f t="shared" si="17"/>
        <v>16713.02108549378</v>
      </c>
      <c r="AF24" s="8">
        <f t="shared" si="17"/>
        <v>16364.371107650755</v>
      </c>
      <c r="AG24" s="8">
        <f t="shared" si="17"/>
        <v>16016.897688398591</v>
      </c>
      <c r="AH24" s="8">
        <f t="shared" si="17"/>
        <v>15667.076353876702</v>
      </c>
      <c r="AI24" s="8">
        <f t="shared" si="17"/>
        <v>15316.065499728547</v>
      </c>
      <c r="AJ24" s="8">
        <f t="shared" si="17"/>
        <v>14963.860170435817</v>
      </c>
      <c r="AK24" s="8">
        <f t="shared" si="17"/>
        <v>14612.857785606126</v>
      </c>
      <c r="AL24" s="8">
        <f t="shared" si="17"/>
        <v>14261.859819980171</v>
      </c>
      <c r="AM24" s="8">
        <f t="shared" si="17"/>
        <v>13910.841370436779</v>
      </c>
      <c r="AN24" s="8">
        <f t="shared" si="17"/>
        <v>13559.828987714131</v>
      </c>
      <c r="AO24" s="8">
        <f t="shared" si="17"/>
        <v>13210.000654075353</v>
      </c>
      <c r="AP24" s="8">
        <f t="shared" si="17"/>
        <v>12858.952144156296</v>
      </c>
      <c r="AQ24" s="8">
        <f t="shared" si="17"/>
        <v>12509.096188196083</v>
      </c>
      <c r="AR24" s="8">
        <f t="shared" si="17"/>
        <v>12159.257671407737</v>
      </c>
      <c r="AS24" s="8">
        <f t="shared" si="17"/>
        <v>11809.383682196933</v>
      </c>
      <c r="AT24" s="8">
        <f t="shared" si="17"/>
        <v>11460.04286629701</v>
      </c>
      <c r="AU24" s="8">
        <f t="shared" si="17"/>
        <v>11110.844258215539</v>
      </c>
    </row>
    <row r="26" spans="1:48" ht="18" x14ac:dyDescent="0.35">
      <c r="A26" s="542" t="s">
        <v>994</v>
      </c>
      <c r="B26" s="542"/>
      <c r="C26" s="542"/>
      <c r="D26" s="542"/>
      <c r="E26" s="542"/>
      <c r="F26" s="542"/>
      <c r="G26" s="542"/>
      <c r="H26" s="542"/>
      <c r="I26" s="542"/>
      <c r="J26" s="542"/>
      <c r="K26" s="542"/>
      <c r="L26" s="542"/>
      <c r="M26" s="542"/>
      <c r="N26" s="542"/>
      <c r="O26" s="542"/>
      <c r="P26" s="542"/>
      <c r="Q26" s="542"/>
      <c r="R26" s="542"/>
      <c r="S26" s="542"/>
      <c r="T26" s="542"/>
      <c r="U26" s="542"/>
      <c r="V26" s="542"/>
    </row>
    <row r="27" spans="1:48" ht="18.600000000000001" thickBot="1" x14ac:dyDescent="0.35">
      <c r="A27" s="245"/>
      <c r="B27" s="242">
        <v>2020</v>
      </c>
      <c r="C27" s="242">
        <v>2021</v>
      </c>
      <c r="D27" s="242">
        <v>2022</v>
      </c>
      <c r="E27" s="242">
        <v>2023</v>
      </c>
      <c r="F27" s="242">
        <v>2024</v>
      </c>
      <c r="G27" s="242">
        <v>2025</v>
      </c>
      <c r="H27" s="242">
        <v>2026</v>
      </c>
      <c r="I27" s="242">
        <v>2027</v>
      </c>
      <c r="J27" s="242">
        <v>2028</v>
      </c>
      <c r="K27" s="242">
        <v>2029</v>
      </c>
      <c r="L27" s="242">
        <v>2030</v>
      </c>
      <c r="M27" s="242">
        <v>2031</v>
      </c>
      <c r="N27" s="242">
        <v>2032</v>
      </c>
      <c r="O27" s="242">
        <v>2033</v>
      </c>
      <c r="P27" s="242">
        <v>2034</v>
      </c>
      <c r="Q27" s="242">
        <v>2035</v>
      </c>
      <c r="R27" s="242">
        <v>2036</v>
      </c>
      <c r="S27" s="242">
        <v>2037</v>
      </c>
      <c r="T27" s="242">
        <v>2038</v>
      </c>
      <c r="U27" s="242">
        <v>2039</v>
      </c>
      <c r="V27" s="242">
        <v>2040</v>
      </c>
      <c r="W27" t="s">
        <v>86</v>
      </c>
      <c r="Z27" s="540" t="s">
        <v>502</v>
      </c>
      <c r="AA27" s="540"/>
      <c r="AB27" s="540"/>
      <c r="AC27" s="540"/>
      <c r="AD27" s="540"/>
      <c r="AE27" s="540"/>
      <c r="AF27" s="540"/>
      <c r="AG27" s="540"/>
      <c r="AH27" s="540"/>
      <c r="AI27" s="540"/>
      <c r="AJ27" s="540"/>
      <c r="AK27" s="540"/>
      <c r="AL27" s="540"/>
      <c r="AM27" s="540"/>
      <c r="AN27" s="540"/>
      <c r="AO27" s="540"/>
      <c r="AP27" s="540"/>
      <c r="AQ27" s="540"/>
      <c r="AR27" s="540"/>
      <c r="AS27" s="540"/>
      <c r="AT27" s="540"/>
      <c r="AU27" s="540"/>
    </row>
    <row r="28" spans="1:48" x14ac:dyDescent="0.3">
      <c r="A28" s="245" t="s">
        <v>17</v>
      </c>
      <c r="B28" s="251">
        <f t="shared" ref="B28:V28" si="18">B$33*B56</f>
        <v>6548.8704746003232</v>
      </c>
      <c r="C28" s="251">
        <f t="shared" si="18"/>
        <v>6543.0670838536125</v>
      </c>
      <c r="D28" s="251">
        <f t="shared" si="18"/>
        <v>6533.4821559001857</v>
      </c>
      <c r="E28" s="251">
        <f t="shared" si="18"/>
        <v>6532.1742597750181</v>
      </c>
      <c r="F28" s="251">
        <f t="shared" si="18"/>
        <v>6530.1185113464207</v>
      </c>
      <c r="G28" s="251">
        <f t="shared" si="18"/>
        <v>6523.9394330959913</v>
      </c>
      <c r="H28" s="251">
        <f t="shared" si="18"/>
        <v>6507.6707612834625</v>
      </c>
      <c r="I28" s="251">
        <f t="shared" si="18"/>
        <v>6484.2397527818048</v>
      </c>
      <c r="J28" s="251">
        <f t="shared" si="18"/>
        <v>6443.6232199046653</v>
      </c>
      <c r="K28" s="251">
        <f t="shared" si="18"/>
        <v>6394.8677960285831</v>
      </c>
      <c r="L28" s="251">
        <f t="shared" si="18"/>
        <v>6312.1525191343326</v>
      </c>
      <c r="M28" s="251">
        <f t="shared" si="18"/>
        <v>6240.8247212236038</v>
      </c>
      <c r="N28" s="251">
        <f t="shared" si="18"/>
        <v>6176.5115737203123</v>
      </c>
      <c r="O28" s="251">
        <f t="shared" si="18"/>
        <v>6114.9914870297844</v>
      </c>
      <c r="P28" s="251">
        <f t="shared" si="18"/>
        <v>6057.360769846332</v>
      </c>
      <c r="Q28" s="251">
        <f t="shared" si="18"/>
        <v>6004.2615690520533</v>
      </c>
      <c r="R28" s="251">
        <f t="shared" si="18"/>
        <v>5955.5169509791294</v>
      </c>
      <c r="S28" s="251">
        <f t="shared" si="18"/>
        <v>5911.248954614638</v>
      </c>
      <c r="T28" s="251">
        <f t="shared" si="18"/>
        <v>5870.7648202702221</v>
      </c>
      <c r="U28" s="251">
        <f t="shared" si="18"/>
        <v>5834.9349060977875</v>
      </c>
      <c r="V28" s="251">
        <f t="shared" si="18"/>
        <v>5806.9448509235799</v>
      </c>
      <c r="W28" s="24" t="s">
        <v>103</v>
      </c>
      <c r="Y28" s="537" t="s">
        <v>14</v>
      </c>
      <c r="Z28" s="7"/>
      <c r="AA28" s="7">
        <v>2020</v>
      </c>
      <c r="AB28" s="7">
        <v>2021</v>
      </c>
      <c r="AC28" s="7">
        <v>2022</v>
      </c>
      <c r="AD28" s="7">
        <v>2023</v>
      </c>
      <c r="AE28" s="7">
        <v>2024</v>
      </c>
      <c r="AF28" s="7">
        <v>2025</v>
      </c>
      <c r="AG28" s="7">
        <v>2026</v>
      </c>
      <c r="AH28" s="7">
        <v>2027</v>
      </c>
      <c r="AI28" s="7">
        <v>2028</v>
      </c>
      <c r="AJ28" s="7">
        <v>2029</v>
      </c>
      <c r="AK28" s="7">
        <v>2030</v>
      </c>
      <c r="AL28" s="7">
        <v>2031</v>
      </c>
      <c r="AM28" s="7">
        <v>2032</v>
      </c>
      <c r="AN28" s="7">
        <v>2033</v>
      </c>
      <c r="AO28" s="7">
        <v>2034</v>
      </c>
      <c r="AP28" s="7">
        <v>2035</v>
      </c>
      <c r="AQ28" s="7">
        <v>2036</v>
      </c>
      <c r="AR28" s="7">
        <v>2037</v>
      </c>
      <c r="AS28" s="7">
        <v>2038</v>
      </c>
      <c r="AT28" s="7">
        <v>2039</v>
      </c>
      <c r="AU28" s="7">
        <v>2040</v>
      </c>
      <c r="AV28" s="22" t="s">
        <v>86</v>
      </c>
    </row>
    <row r="29" spans="1:48" x14ac:dyDescent="0.3">
      <c r="A29" s="245" t="s">
        <v>18</v>
      </c>
      <c r="B29" s="251">
        <f t="shared" ref="B29:V29" si="19">B$33*B57</f>
        <v>9497.1742721705814</v>
      </c>
      <c r="C29" s="251">
        <f t="shared" si="19"/>
        <v>9464.4542555829921</v>
      </c>
      <c r="D29" s="251">
        <f t="shared" si="19"/>
        <v>9414.9636763390772</v>
      </c>
      <c r="E29" s="251">
        <f t="shared" si="19"/>
        <v>9380.8953507643473</v>
      </c>
      <c r="F29" s="251">
        <f t="shared" si="19"/>
        <v>9354.523328363457</v>
      </c>
      <c r="G29" s="251">
        <f t="shared" si="19"/>
        <v>9335.8812479357166</v>
      </c>
      <c r="H29" s="251">
        <f t="shared" si="19"/>
        <v>9315.5509759371707</v>
      </c>
      <c r="I29" s="251">
        <f t="shared" si="19"/>
        <v>9308.9128383411862</v>
      </c>
      <c r="J29" s="251">
        <f t="shared" si="19"/>
        <v>9293.0553265599374</v>
      </c>
      <c r="K29" s="251">
        <f t="shared" si="19"/>
        <v>9311.8233183032207</v>
      </c>
      <c r="L29" s="251">
        <f t="shared" si="19"/>
        <v>9268.0935723745279</v>
      </c>
      <c r="M29" s="251">
        <f t="shared" si="19"/>
        <v>9231.2353877286496</v>
      </c>
      <c r="N29" s="251">
        <f t="shared" si="19"/>
        <v>9200.8575615488771</v>
      </c>
      <c r="O29" s="251">
        <f t="shared" si="19"/>
        <v>9169.3344372266056</v>
      </c>
      <c r="P29" s="251">
        <f t="shared" si="19"/>
        <v>9137.467103626097</v>
      </c>
      <c r="Q29" s="251">
        <f t="shared" si="19"/>
        <v>9106.1563445978099</v>
      </c>
      <c r="R29" s="251">
        <f t="shared" si="19"/>
        <v>9075.0607363962663</v>
      </c>
      <c r="S29" s="251">
        <f t="shared" si="19"/>
        <v>9045.3590663366303</v>
      </c>
      <c r="T29" s="251">
        <f t="shared" si="19"/>
        <v>9017.0116314988518</v>
      </c>
      <c r="U29" s="251">
        <f t="shared" si="19"/>
        <v>8984.8063103417826</v>
      </c>
      <c r="V29" s="251">
        <f t="shared" si="19"/>
        <v>8960.3101268901337</v>
      </c>
      <c r="Y29" s="538"/>
      <c r="Z29" s="3" t="s">
        <v>0</v>
      </c>
      <c r="AA29" s="2">
        <f t="shared" ref="AA29:AU29" si="20">AA36*AA$197</f>
        <v>6526.2009746737458</v>
      </c>
      <c r="AB29" s="2">
        <f t="shared" si="20"/>
        <v>6474.7510338653619</v>
      </c>
      <c r="AC29" s="2">
        <f t="shared" si="20"/>
        <v>6431.256036059217</v>
      </c>
      <c r="AD29" s="2">
        <f t="shared" si="20"/>
        <v>6454.5370806219644</v>
      </c>
      <c r="AE29" s="2">
        <f t="shared" si="20"/>
        <v>6299.8435933215897</v>
      </c>
      <c r="AF29" s="2">
        <f t="shared" si="20"/>
        <v>6222.9350340452229</v>
      </c>
      <c r="AG29" s="2">
        <f t="shared" si="20"/>
        <v>6197.0665675589862</v>
      </c>
      <c r="AH29" s="2">
        <f t="shared" si="20"/>
        <v>6110.9595251462488</v>
      </c>
      <c r="AI29" s="2">
        <f t="shared" si="20"/>
        <v>5973.7068693105975</v>
      </c>
      <c r="AJ29" s="2">
        <f t="shared" si="20"/>
        <v>5798.6008139363475</v>
      </c>
      <c r="AK29" s="2">
        <f t="shared" si="20"/>
        <v>5641.5653408703047</v>
      </c>
      <c r="AL29" s="2">
        <f t="shared" si="20"/>
        <v>5501.1846018143797</v>
      </c>
      <c r="AM29" s="2">
        <f t="shared" si="20"/>
        <v>5406.2830318600691</v>
      </c>
      <c r="AN29" s="2">
        <f t="shared" si="20"/>
        <v>5311.7057341421132</v>
      </c>
      <c r="AO29" s="2">
        <f t="shared" si="20"/>
        <v>5072.3618188662676</v>
      </c>
      <c r="AP29" s="2">
        <f t="shared" si="20"/>
        <v>5053.598025620825</v>
      </c>
      <c r="AQ29" s="2">
        <f t="shared" si="20"/>
        <v>4939.1523331978715</v>
      </c>
      <c r="AR29" s="2">
        <f t="shared" si="20"/>
        <v>4949.311932297941</v>
      </c>
      <c r="AS29" s="2">
        <f t="shared" si="20"/>
        <v>4720.7159237664646</v>
      </c>
      <c r="AT29" s="2">
        <f t="shared" si="20"/>
        <v>4736.3481735259656</v>
      </c>
      <c r="AU29" s="2">
        <f t="shared" si="20"/>
        <v>4684.7441346298419</v>
      </c>
      <c r="AV29" s="293" t="s">
        <v>116</v>
      </c>
    </row>
    <row r="30" spans="1:48" x14ac:dyDescent="0.3">
      <c r="A30" s="245" t="s">
        <v>60</v>
      </c>
      <c r="B30" s="251">
        <f t="shared" ref="B30:V30" si="21">B$33*B58</f>
        <v>1853.2210095348682</v>
      </c>
      <c r="C30" s="251">
        <f t="shared" si="21"/>
        <v>1954.1689718472956</v>
      </c>
      <c r="D30" s="251">
        <f t="shared" si="21"/>
        <v>2065.9151973074277</v>
      </c>
      <c r="E30" s="251">
        <f t="shared" si="21"/>
        <v>2175.4205780438515</v>
      </c>
      <c r="F30" s="251">
        <f t="shared" si="21"/>
        <v>2270.1744385375937</v>
      </c>
      <c r="G30" s="251">
        <f t="shared" si="21"/>
        <v>2345.7155481354957</v>
      </c>
      <c r="H30" s="251">
        <f t="shared" si="21"/>
        <v>2405.723700063365</v>
      </c>
      <c r="I30" s="251">
        <f t="shared" si="21"/>
        <v>2436.7682298325399</v>
      </c>
      <c r="J30" s="251">
        <f t="shared" si="21"/>
        <v>2446.4238582573348</v>
      </c>
      <c r="K30" s="251">
        <f t="shared" si="21"/>
        <v>2401.3067476820788</v>
      </c>
      <c r="L30" s="251">
        <f t="shared" si="21"/>
        <v>2363.8873136874427</v>
      </c>
      <c r="M30" s="251">
        <f t="shared" si="21"/>
        <v>2339.4211169155355</v>
      </c>
      <c r="N30" s="251">
        <f t="shared" si="21"/>
        <v>2319.9922010292112</v>
      </c>
      <c r="O30" s="251">
        <f t="shared" si="21"/>
        <v>2305.7432081733605</v>
      </c>
      <c r="P30" s="251">
        <f t="shared" si="21"/>
        <v>2298.6782754755368</v>
      </c>
      <c r="Q30" s="251">
        <f t="shared" si="21"/>
        <v>2298.2298558747143</v>
      </c>
      <c r="R30" s="251">
        <f t="shared" si="21"/>
        <v>2303.9409231126579</v>
      </c>
      <c r="S30" s="251">
        <f t="shared" si="21"/>
        <v>2315.4860345586617</v>
      </c>
      <c r="T30" s="251">
        <f t="shared" si="21"/>
        <v>2331.6468854780614</v>
      </c>
      <c r="U30" s="251">
        <f t="shared" si="21"/>
        <v>2354.8481340444609</v>
      </c>
      <c r="V30" s="251">
        <f t="shared" si="21"/>
        <v>2385.3082098952568</v>
      </c>
      <c r="Y30" s="538"/>
      <c r="Z30" s="3" t="s">
        <v>1</v>
      </c>
      <c r="AA30" s="2">
        <f t="shared" ref="AA30:AU30" si="22">AA37*AA$197</f>
        <v>9690.6466826383967</v>
      </c>
      <c r="AB30" s="2">
        <f t="shared" si="22"/>
        <v>9490.009241278658</v>
      </c>
      <c r="AC30" s="2">
        <f t="shared" si="22"/>
        <v>9287.9007289991296</v>
      </c>
      <c r="AD30" s="2">
        <f t="shared" si="22"/>
        <v>9184.0097923994017</v>
      </c>
      <c r="AE30" s="2">
        <f t="shared" si="22"/>
        <v>8836.460860938043</v>
      </c>
      <c r="AF30" s="2">
        <f t="shared" si="22"/>
        <v>8612.201316562896</v>
      </c>
      <c r="AG30" s="2">
        <f t="shared" si="22"/>
        <v>8471.7730510787333</v>
      </c>
      <c r="AH30" s="2">
        <f t="shared" si="22"/>
        <v>8272.0555757779784</v>
      </c>
      <c r="AI30" s="2">
        <f t="shared" si="22"/>
        <v>8018.1485210875717</v>
      </c>
      <c r="AJ30" s="2">
        <f t="shared" si="22"/>
        <v>7762.6214902661586</v>
      </c>
      <c r="AK30" s="2">
        <f t="shared" si="22"/>
        <v>7518.0603079263801</v>
      </c>
      <c r="AL30" s="2">
        <f t="shared" si="22"/>
        <v>7284.8774459129954</v>
      </c>
      <c r="AM30" s="2">
        <f t="shared" si="22"/>
        <v>7109.9147877702308</v>
      </c>
      <c r="AN30" s="2">
        <f t="shared" si="22"/>
        <v>6928.2511323383196</v>
      </c>
      <c r="AO30" s="2">
        <f t="shared" si="22"/>
        <v>6553.5245685841501</v>
      </c>
      <c r="AP30" s="2">
        <f t="shared" si="22"/>
        <v>6365.7111329664804</v>
      </c>
      <c r="AQ30" s="2">
        <f t="shared" si="22"/>
        <v>6049.6235167081395</v>
      </c>
      <c r="AR30" s="2">
        <f t="shared" si="22"/>
        <v>5879.5371787258046</v>
      </c>
      <c r="AS30" s="2">
        <f t="shared" si="22"/>
        <v>5422.0319124411062</v>
      </c>
      <c r="AT30" s="2">
        <f t="shared" si="22"/>
        <v>5395.6704043196851</v>
      </c>
      <c r="AU30" s="2">
        <f t="shared" si="22"/>
        <v>5191.772988386816</v>
      </c>
      <c r="AV30" s="24" t="s">
        <v>104</v>
      </c>
    </row>
    <row r="31" spans="1:48" x14ac:dyDescent="0.3">
      <c r="A31" s="245" t="s">
        <v>6</v>
      </c>
      <c r="B31" s="251">
        <f t="shared" ref="B31:V31" si="23">B$33*B59</f>
        <v>377.58416084422981</v>
      </c>
      <c r="C31" s="251">
        <f t="shared" si="23"/>
        <v>378.9010038660831</v>
      </c>
      <c r="D31" s="251">
        <f t="shared" si="23"/>
        <v>380.01209016577189</v>
      </c>
      <c r="E31" s="251">
        <f t="shared" si="23"/>
        <v>381.57584125422278</v>
      </c>
      <c r="F31" s="251">
        <f t="shared" si="23"/>
        <v>382.97498696494199</v>
      </c>
      <c r="G31" s="251">
        <f t="shared" si="23"/>
        <v>384.04492192019785</v>
      </c>
      <c r="H31" s="251">
        <f t="shared" si="23"/>
        <v>384.53873805339276</v>
      </c>
      <c r="I31" s="251">
        <f t="shared" si="23"/>
        <v>384.55931372560917</v>
      </c>
      <c r="J31" s="251">
        <f t="shared" si="23"/>
        <v>383.57168145921929</v>
      </c>
      <c r="K31" s="251">
        <f t="shared" si="23"/>
        <v>381.987354698552</v>
      </c>
      <c r="L31" s="251">
        <f t="shared" si="23"/>
        <v>378.53064176618687</v>
      </c>
      <c r="M31" s="251">
        <f t="shared" si="23"/>
        <v>375.73235034474862</v>
      </c>
      <c r="N31" s="251">
        <f t="shared" si="23"/>
        <v>373.32499669542284</v>
      </c>
      <c r="O31" s="251">
        <f t="shared" si="23"/>
        <v>371.06167275161249</v>
      </c>
      <c r="P31" s="251">
        <f t="shared" si="23"/>
        <v>369.02468120218316</v>
      </c>
      <c r="Q31" s="251">
        <f t="shared" si="23"/>
        <v>367.23459771935114</v>
      </c>
      <c r="R31" s="251">
        <f t="shared" si="23"/>
        <v>365.67084663090031</v>
      </c>
      <c r="S31" s="251">
        <f t="shared" si="23"/>
        <v>364.35400360904697</v>
      </c>
      <c r="T31" s="251">
        <f t="shared" si="23"/>
        <v>363.24291730935818</v>
      </c>
      <c r="U31" s="251">
        <f t="shared" si="23"/>
        <v>362.27058711461586</v>
      </c>
      <c r="V31" s="251">
        <f t="shared" si="23"/>
        <v>361.79111721010747</v>
      </c>
      <c r="Y31" s="538"/>
      <c r="Z31" s="3" t="s">
        <v>2</v>
      </c>
      <c r="AA31" s="2">
        <f t="shared" ref="AA31:AU31" si="24">AA38*AA$197</f>
        <v>1936.8805418520817</v>
      </c>
      <c r="AB31" s="2">
        <f t="shared" si="24"/>
        <v>2057.5739437064854</v>
      </c>
      <c r="AC31" s="2">
        <f t="shared" si="24"/>
        <v>2194.4917046119226</v>
      </c>
      <c r="AD31" s="2">
        <f t="shared" si="24"/>
        <v>2355.8025963327764</v>
      </c>
      <c r="AE31" s="2">
        <f t="shared" si="24"/>
        <v>2437.8213497578454</v>
      </c>
      <c r="AF31" s="2">
        <f t="shared" si="24"/>
        <v>2529.9632164962945</v>
      </c>
      <c r="AG31" s="2">
        <f t="shared" si="24"/>
        <v>2634.1468390470877</v>
      </c>
      <c r="AH31" s="2">
        <f t="shared" si="24"/>
        <v>2687.1261745439278</v>
      </c>
      <c r="AI31" s="2">
        <f t="shared" si="24"/>
        <v>2702.8662566108073</v>
      </c>
      <c r="AJ31" s="2">
        <f t="shared" si="24"/>
        <v>2651.628187077501</v>
      </c>
      <c r="AK31" s="2">
        <f t="shared" si="24"/>
        <v>2625.482228584895</v>
      </c>
      <c r="AL31" s="2">
        <f t="shared" si="24"/>
        <v>2619.4185284450473</v>
      </c>
      <c r="AM31" s="2">
        <f t="shared" si="24"/>
        <v>2639.2553250834035</v>
      </c>
      <c r="AN31" s="2">
        <f t="shared" si="24"/>
        <v>2666.3227206863171</v>
      </c>
      <c r="AO31" s="2">
        <f t="shared" si="24"/>
        <v>2627.2020839968022</v>
      </c>
      <c r="AP31" s="2">
        <f t="shared" si="24"/>
        <v>2670.4866127067048</v>
      </c>
      <c r="AQ31" s="2">
        <f t="shared" si="24"/>
        <v>2669.3212977209082</v>
      </c>
      <c r="AR31" s="2">
        <f t="shared" si="24"/>
        <v>2740.7403349508058</v>
      </c>
      <c r="AS31" s="2">
        <f t="shared" si="24"/>
        <v>2681.9099566905784</v>
      </c>
      <c r="AT31" s="2">
        <f t="shared" si="24"/>
        <v>2785.4935699271837</v>
      </c>
      <c r="AU31" s="2">
        <f t="shared" si="24"/>
        <v>2838.5576398204662</v>
      </c>
    </row>
    <row r="32" spans="1:48" x14ac:dyDescent="0.3">
      <c r="A32" s="245" t="s">
        <v>8</v>
      </c>
      <c r="B32" s="251">
        <f t="shared" ref="B32:V32" si="25">B$33*B60</f>
        <v>74.150082849993936</v>
      </c>
      <c r="C32" s="251">
        <f t="shared" si="25"/>
        <v>74.408684850015717</v>
      </c>
      <c r="D32" s="251">
        <f t="shared" si="25"/>
        <v>74.626880287534078</v>
      </c>
      <c r="E32" s="251">
        <f t="shared" si="25"/>
        <v>74.933970162559959</v>
      </c>
      <c r="F32" s="251">
        <f t="shared" si="25"/>
        <v>75.208734787583083</v>
      </c>
      <c r="G32" s="251">
        <f t="shared" si="25"/>
        <v>75.418848912600794</v>
      </c>
      <c r="H32" s="251">
        <f t="shared" si="25"/>
        <v>75.515824662608935</v>
      </c>
      <c r="I32" s="251">
        <f t="shared" si="25"/>
        <v>75.519865318859274</v>
      </c>
      <c r="J32" s="251">
        <f t="shared" si="25"/>
        <v>75.325913818842977</v>
      </c>
      <c r="K32" s="251">
        <f t="shared" si="25"/>
        <v>75.014783287566743</v>
      </c>
      <c r="L32" s="251">
        <f t="shared" si="25"/>
        <v>74.335953037509597</v>
      </c>
      <c r="M32" s="251">
        <f t="shared" si="25"/>
        <v>73.786423787463349</v>
      </c>
      <c r="N32" s="251">
        <f t="shared" si="25"/>
        <v>73.313667006173503</v>
      </c>
      <c r="O32" s="251">
        <f t="shared" si="25"/>
        <v>72.869194818636089</v>
      </c>
      <c r="P32" s="251">
        <f t="shared" si="25"/>
        <v>72.469169849852392</v>
      </c>
      <c r="Q32" s="251">
        <f t="shared" si="25"/>
        <v>72.11763275607278</v>
      </c>
      <c r="R32" s="251">
        <f t="shared" si="25"/>
        <v>71.810542881046928</v>
      </c>
      <c r="S32" s="251">
        <f t="shared" si="25"/>
        <v>71.551940881025175</v>
      </c>
      <c r="T32" s="251">
        <f t="shared" si="25"/>
        <v>71.3337454435068</v>
      </c>
      <c r="U32" s="251">
        <f t="shared" si="25"/>
        <v>71.140062401352367</v>
      </c>
      <c r="V32" s="251">
        <f t="shared" si="25"/>
        <v>71.045695080922073</v>
      </c>
      <c r="Y32" s="538"/>
      <c r="Z32" s="3" t="s">
        <v>6</v>
      </c>
      <c r="AA32" s="2">
        <f t="shared" ref="AA32:AU32" si="26">AA39*AA$197</f>
        <v>343.41853578937622</v>
      </c>
      <c r="AB32" s="2">
        <f t="shared" si="26"/>
        <v>294.47847267725842</v>
      </c>
      <c r="AC32" s="2">
        <f t="shared" si="26"/>
        <v>246.08750907208841</v>
      </c>
      <c r="AD32" s="2">
        <f t="shared" si="26"/>
        <v>197.82535523540878</v>
      </c>
      <c r="AE32" s="2">
        <f t="shared" si="26"/>
        <v>143.7031532488835</v>
      </c>
      <c r="AF32" s="2">
        <f t="shared" si="26"/>
        <v>144.56932665693111</v>
      </c>
      <c r="AG32" s="2">
        <f t="shared" si="26"/>
        <v>148.23635100215188</v>
      </c>
      <c r="AH32" s="2">
        <f t="shared" si="26"/>
        <v>148.40144553694276</v>
      </c>
      <c r="AI32" s="2">
        <f t="shared" si="26"/>
        <v>146.31657885196296</v>
      </c>
      <c r="AJ32" s="2">
        <f t="shared" si="26"/>
        <v>142.86214300971429</v>
      </c>
      <c r="AK32" s="2">
        <f t="shared" si="26"/>
        <v>140.93846319090699</v>
      </c>
      <c r="AL32" s="2">
        <f t="shared" si="26"/>
        <v>139.28761405773872</v>
      </c>
      <c r="AM32" s="2">
        <f t="shared" si="26"/>
        <v>138.76355431203734</v>
      </c>
      <c r="AN32" s="2">
        <f t="shared" si="26"/>
        <v>138.20206772143737</v>
      </c>
      <c r="AO32" s="2">
        <f t="shared" si="26"/>
        <v>135.15265313999299</v>
      </c>
      <c r="AP32" s="2">
        <f t="shared" si="26"/>
        <v>134.57570331750324</v>
      </c>
      <c r="AQ32" s="2">
        <f t="shared" si="26"/>
        <v>132.69781438173013</v>
      </c>
      <c r="AR32" s="2">
        <f t="shared" si="26"/>
        <v>134.11222877947722</v>
      </c>
      <c r="AS32" s="2">
        <f t="shared" si="26"/>
        <v>128.8979979184619</v>
      </c>
      <c r="AT32" s="2">
        <f t="shared" si="26"/>
        <v>132.35886691083147</v>
      </c>
      <c r="AU32" s="2">
        <f t="shared" si="26"/>
        <v>132.8322630801143</v>
      </c>
    </row>
    <row r="33" spans="1:48" x14ac:dyDescent="0.3">
      <c r="A33" s="252" t="s">
        <v>16</v>
      </c>
      <c r="B33" s="253">
        <v>18351</v>
      </c>
      <c r="C33" s="253">
        <v>18415</v>
      </c>
      <c r="D33" s="253">
        <v>18469</v>
      </c>
      <c r="E33" s="253">
        <v>18545</v>
      </c>
      <c r="F33" s="253">
        <v>18613</v>
      </c>
      <c r="G33" s="253">
        <v>18665</v>
      </c>
      <c r="H33" s="253">
        <v>18689</v>
      </c>
      <c r="I33" s="253">
        <v>18690</v>
      </c>
      <c r="J33" s="253">
        <v>18642</v>
      </c>
      <c r="K33" s="253">
        <v>18565</v>
      </c>
      <c r="L33" s="253">
        <v>18397</v>
      </c>
      <c r="M33" s="253">
        <v>18261</v>
      </c>
      <c r="N33" s="253">
        <v>18144</v>
      </c>
      <c r="O33" s="253">
        <v>18034</v>
      </c>
      <c r="P33" s="253">
        <v>17935</v>
      </c>
      <c r="Q33" s="253">
        <v>17848</v>
      </c>
      <c r="R33" s="253">
        <v>17772</v>
      </c>
      <c r="S33" s="253">
        <v>17708</v>
      </c>
      <c r="T33" s="253">
        <v>17654</v>
      </c>
      <c r="U33" s="253">
        <v>17608</v>
      </c>
      <c r="V33" s="253">
        <v>17585.400000000001</v>
      </c>
      <c r="W33">
        <v>17569.349999999999</v>
      </c>
      <c r="Y33" s="538"/>
      <c r="Z33" s="3" t="s">
        <v>8</v>
      </c>
      <c r="AA33" s="2">
        <f t="shared" ref="AA33:AU33" si="27">AA40*AA$197</f>
        <v>77.425269887059372</v>
      </c>
      <c r="AB33" s="2">
        <f t="shared" si="27"/>
        <v>78.024210709359082</v>
      </c>
      <c r="AC33" s="2">
        <f t="shared" si="27"/>
        <v>78.646523517883921</v>
      </c>
      <c r="AD33" s="2">
        <f t="shared" si="27"/>
        <v>80.16452303657087</v>
      </c>
      <c r="AE33" s="2">
        <f t="shared" si="27"/>
        <v>80.833023702496988</v>
      </c>
      <c r="AF33" s="2">
        <f t="shared" si="27"/>
        <v>81.320246244523759</v>
      </c>
      <c r="AG33" s="2">
        <f t="shared" si="27"/>
        <v>82.645045248987316</v>
      </c>
      <c r="AH33" s="2">
        <f t="shared" si="27"/>
        <v>83.475813114530311</v>
      </c>
      <c r="AI33" s="2">
        <f t="shared" si="27"/>
        <v>83.799495160669707</v>
      </c>
      <c r="AJ33" s="2">
        <f t="shared" si="27"/>
        <v>82.779933332731645</v>
      </c>
      <c r="AK33" s="2">
        <f t="shared" si="27"/>
        <v>83.22080683653553</v>
      </c>
      <c r="AL33" s="2">
        <f t="shared" si="27"/>
        <v>82.49072288856371</v>
      </c>
      <c r="AM33" s="2">
        <f t="shared" si="27"/>
        <v>83.807691218161168</v>
      </c>
      <c r="AN33" s="2">
        <f t="shared" si="27"/>
        <v>85.15480940411797</v>
      </c>
      <c r="AO33" s="2">
        <f t="shared" si="27"/>
        <v>84.125631036118079</v>
      </c>
      <c r="AP33" s="2">
        <f t="shared" si="27"/>
        <v>85.511644816330175</v>
      </c>
      <c r="AQ33" s="2">
        <f t="shared" si="27"/>
        <v>83.809145925303241</v>
      </c>
      <c r="AR33" s="2">
        <f t="shared" si="27"/>
        <v>85.603550284772695</v>
      </c>
      <c r="AS33" s="2">
        <f t="shared" si="27"/>
        <v>83.159998657072194</v>
      </c>
      <c r="AT33" s="2">
        <f t="shared" si="27"/>
        <v>87.09099969117473</v>
      </c>
      <c r="AU33" s="2">
        <f t="shared" si="27"/>
        <v>88.549328053281755</v>
      </c>
    </row>
    <row r="34" spans="1:48" ht="15" thickBot="1" x14ac:dyDescent="0.35">
      <c r="Y34" s="539"/>
      <c r="Z34" s="292" t="s">
        <v>16</v>
      </c>
      <c r="AA34" s="8">
        <f t="shared" ref="AA34:AU34" si="28">AA41*AA$197</f>
        <v>18574.572004840662</v>
      </c>
      <c r="AB34" s="8">
        <f t="shared" si="28"/>
        <v>18394.836902237123</v>
      </c>
      <c r="AC34" s="8">
        <f t="shared" si="28"/>
        <v>18238.382502260243</v>
      </c>
      <c r="AD34" s="8">
        <f t="shared" si="28"/>
        <v>18272.339347626123</v>
      </c>
      <c r="AE34" s="8">
        <f t="shared" si="28"/>
        <v>17798.66198096886</v>
      </c>
      <c r="AF34" s="8">
        <f t="shared" si="28"/>
        <v>17590.98914000587</v>
      </c>
      <c r="AG34" s="8">
        <f t="shared" si="28"/>
        <v>17533.867853935946</v>
      </c>
      <c r="AH34" s="8">
        <f t="shared" si="28"/>
        <v>17302.018534119627</v>
      </c>
      <c r="AI34" s="8">
        <f t="shared" si="28"/>
        <v>16924.837721021609</v>
      </c>
      <c r="AJ34" s="8">
        <f t="shared" si="28"/>
        <v>16438.492567622452</v>
      </c>
      <c r="AK34" s="8">
        <f t="shared" si="28"/>
        <v>16009.267147409022</v>
      </c>
      <c r="AL34" s="8">
        <f t="shared" si="28"/>
        <v>15627.258913118725</v>
      </c>
      <c r="AM34" s="8">
        <f t="shared" si="28"/>
        <v>15378.024390243902</v>
      </c>
      <c r="AN34" s="8">
        <f t="shared" si="28"/>
        <v>15129.636464292305</v>
      </c>
      <c r="AO34" s="8">
        <f t="shared" si="28"/>
        <v>14472.36675562333</v>
      </c>
      <c r="AP34" s="8">
        <f t="shared" si="28"/>
        <v>14309.883119427843</v>
      </c>
      <c r="AQ34" s="8">
        <f t="shared" si="28"/>
        <v>13874.604107933952</v>
      </c>
      <c r="AR34" s="8">
        <f t="shared" si="28"/>
        <v>13789.305225038801</v>
      </c>
      <c r="AS34" s="8">
        <f t="shared" si="28"/>
        <v>13036.715789473683</v>
      </c>
      <c r="AT34" s="8">
        <f t="shared" si="28"/>
        <v>13136.962014374843</v>
      </c>
      <c r="AU34" s="8">
        <f t="shared" si="28"/>
        <v>12936.45635397052</v>
      </c>
    </row>
    <row r="35" spans="1:48" ht="18" x14ac:dyDescent="0.35">
      <c r="A35" s="542" t="s">
        <v>995</v>
      </c>
      <c r="B35" s="542"/>
      <c r="C35" s="542"/>
      <c r="D35" s="542"/>
      <c r="E35" s="542"/>
      <c r="F35" s="542"/>
      <c r="G35" s="542"/>
      <c r="H35" s="542"/>
      <c r="I35" s="542"/>
      <c r="J35" s="542"/>
      <c r="K35" s="542"/>
      <c r="L35" s="542"/>
      <c r="M35" s="542"/>
      <c r="N35" s="542"/>
      <c r="O35" s="542"/>
      <c r="P35" s="542"/>
      <c r="Q35" s="542"/>
      <c r="R35" s="542"/>
      <c r="S35" s="542"/>
      <c r="T35" s="542"/>
      <c r="U35" s="542"/>
      <c r="V35" s="542"/>
      <c r="Y35" s="537" t="s">
        <v>15</v>
      </c>
      <c r="Z35" s="3"/>
      <c r="AA35" s="7">
        <v>2020</v>
      </c>
      <c r="AB35" s="7">
        <v>2021</v>
      </c>
      <c r="AC35" s="7">
        <v>2022</v>
      </c>
      <c r="AD35" s="7">
        <v>2023</v>
      </c>
      <c r="AE35" s="7">
        <v>2024</v>
      </c>
      <c r="AF35" s="7">
        <v>2025</v>
      </c>
      <c r="AG35" s="7">
        <v>2026</v>
      </c>
      <c r="AH35" s="7">
        <v>2027</v>
      </c>
      <c r="AI35" s="7">
        <v>2028</v>
      </c>
      <c r="AJ35" s="7">
        <v>2029</v>
      </c>
      <c r="AK35" s="7">
        <v>2030</v>
      </c>
      <c r="AL35" s="7">
        <v>2031</v>
      </c>
      <c r="AM35" s="7">
        <v>2032</v>
      </c>
      <c r="AN35" s="7">
        <v>2033</v>
      </c>
      <c r="AO35" s="7">
        <v>2034</v>
      </c>
      <c r="AP35" s="7">
        <v>2035</v>
      </c>
      <c r="AQ35" s="7">
        <v>2036</v>
      </c>
      <c r="AR35" s="7">
        <v>2037</v>
      </c>
      <c r="AS35" s="7">
        <v>2038</v>
      </c>
      <c r="AT35" s="7">
        <v>2039</v>
      </c>
      <c r="AU35" s="7">
        <v>2040</v>
      </c>
    </row>
    <row r="36" spans="1:48" x14ac:dyDescent="0.3">
      <c r="A36" s="245"/>
      <c r="B36" s="242">
        <v>2020</v>
      </c>
      <c r="C36" s="242">
        <v>2021</v>
      </c>
      <c r="D36" s="242">
        <v>2022</v>
      </c>
      <c r="E36" s="242">
        <v>2023</v>
      </c>
      <c r="F36" s="242">
        <v>2024</v>
      </c>
      <c r="G36" s="242">
        <v>2025</v>
      </c>
      <c r="H36" s="242">
        <v>2026</v>
      </c>
      <c r="I36" s="242">
        <v>2027</v>
      </c>
      <c r="J36" s="242">
        <v>2028</v>
      </c>
      <c r="K36" s="242">
        <v>2029</v>
      </c>
      <c r="L36" s="242">
        <v>2030</v>
      </c>
      <c r="M36" s="242">
        <v>2031</v>
      </c>
      <c r="N36" s="242">
        <v>2032</v>
      </c>
      <c r="O36" s="242">
        <v>2033</v>
      </c>
      <c r="P36" s="242">
        <v>2034</v>
      </c>
      <c r="Q36" s="242">
        <v>2035</v>
      </c>
      <c r="R36" s="242">
        <v>2036</v>
      </c>
      <c r="S36" s="242">
        <v>2037</v>
      </c>
      <c r="T36" s="242">
        <v>2038</v>
      </c>
      <c r="U36" s="242">
        <v>2039</v>
      </c>
      <c r="V36" s="242">
        <v>2040</v>
      </c>
      <c r="W36" t="s">
        <v>86</v>
      </c>
      <c r="Y36" s="538"/>
      <c r="Z36" s="3" t="s">
        <v>0</v>
      </c>
      <c r="AA36" s="2">
        <f t="shared" ref="AA36:AU36" si="29">AA$41*AA186</f>
        <v>6264.2432432432433</v>
      </c>
      <c r="AB36" s="2">
        <f t="shared" si="29"/>
        <v>6169.9873435041391</v>
      </c>
      <c r="AC36" s="2">
        <f t="shared" si="29"/>
        <v>6083.0831826401445</v>
      </c>
      <c r="AD36" s="2">
        <f t="shared" si="29"/>
        <v>5992.3781488819695</v>
      </c>
      <c r="AE36" s="2">
        <f t="shared" si="29"/>
        <v>5896.459775086505</v>
      </c>
      <c r="AF36" s="2">
        <f t="shared" si="29"/>
        <v>5792.7703991781627</v>
      </c>
      <c r="AG36" s="2">
        <f t="shared" si="29"/>
        <v>5678.272033517881</v>
      </c>
      <c r="AH36" s="2">
        <f t="shared" si="29"/>
        <v>5547.9626282738545</v>
      </c>
      <c r="AI36" s="2">
        <f t="shared" si="29"/>
        <v>5407.271298333857</v>
      </c>
      <c r="AJ36" s="2">
        <f t="shared" si="29"/>
        <v>5234.3873456790125</v>
      </c>
      <c r="AK36" s="2">
        <f t="shared" si="29"/>
        <v>5070.9457533327741</v>
      </c>
      <c r="AL36" s="2">
        <f t="shared" si="29"/>
        <v>4913.5638629283485</v>
      </c>
      <c r="AM36" s="2">
        <f t="shared" si="29"/>
        <v>4757.6480836236933</v>
      </c>
      <c r="AN36" s="2">
        <f t="shared" si="29"/>
        <v>4605.4613397305775</v>
      </c>
      <c r="AO36" s="2">
        <f t="shared" si="29"/>
        <v>4455.7284162378501</v>
      </c>
      <c r="AP36" s="2">
        <f t="shared" si="29"/>
        <v>4370.9918691222574</v>
      </c>
      <c r="AQ36" s="2">
        <f t="shared" si="29"/>
        <v>4290.3324272626605</v>
      </c>
      <c r="AR36" s="2">
        <f t="shared" si="29"/>
        <v>4212.6904293843763</v>
      </c>
      <c r="AS36" s="2">
        <f t="shared" si="29"/>
        <v>4138.5470975972785</v>
      </c>
      <c r="AT36" s="2">
        <f t="shared" si="29"/>
        <v>4021.6121621056368</v>
      </c>
      <c r="AU36" s="2">
        <f t="shared" si="29"/>
        <v>3946.884809789055</v>
      </c>
    </row>
    <row r="37" spans="1:48" x14ac:dyDescent="0.3">
      <c r="A37" s="245" t="s">
        <v>17</v>
      </c>
      <c r="B37" s="251">
        <f t="shared" ref="B37:V37" si="30">B$42*B56</f>
        <v>6353.2913891465832</v>
      </c>
      <c r="C37" s="251">
        <f t="shared" si="30"/>
        <v>6310.4991621102727</v>
      </c>
      <c r="D37" s="251">
        <f t="shared" si="30"/>
        <v>6207.9633716684866</v>
      </c>
      <c r="E37" s="251">
        <f t="shared" si="30"/>
        <v>6163.2304368070627</v>
      </c>
      <c r="F37" s="251">
        <f t="shared" si="30"/>
        <v>6134.192961950268</v>
      </c>
      <c r="G37" s="251">
        <f t="shared" si="30"/>
        <v>6079.762161536406</v>
      </c>
      <c r="H37" s="251">
        <f t="shared" si="30"/>
        <v>5988.7387730977698</v>
      </c>
      <c r="I37" s="251">
        <f t="shared" si="30"/>
        <v>5941.9749337481308</v>
      </c>
      <c r="J37" s="251">
        <f t="shared" si="30"/>
        <v>5861.0345054933805</v>
      </c>
      <c r="K37" s="251">
        <f t="shared" si="30"/>
        <v>5776.209798117141</v>
      </c>
      <c r="L37" s="251">
        <f t="shared" si="30"/>
        <v>5691.1282741437972</v>
      </c>
      <c r="M37" s="251">
        <f t="shared" si="30"/>
        <v>5632.7733134352638</v>
      </c>
      <c r="N37" s="251">
        <f t="shared" si="30"/>
        <v>5581.4908132983892</v>
      </c>
      <c r="O37" s="251">
        <f t="shared" si="30"/>
        <v>5571.8044750287827</v>
      </c>
      <c r="P37" s="251">
        <f t="shared" si="30"/>
        <v>5555.8205189487271</v>
      </c>
      <c r="Q37" s="251">
        <f t="shared" si="30"/>
        <v>5486.8371759899237</v>
      </c>
      <c r="R37" s="251">
        <f t="shared" si="30"/>
        <v>5407.4833607008422</v>
      </c>
      <c r="S37" s="251">
        <f t="shared" si="30"/>
        <v>5403.9381510511475</v>
      </c>
      <c r="T37" s="251">
        <f t="shared" si="30"/>
        <v>5349.8246817508343</v>
      </c>
      <c r="U37" s="251">
        <f t="shared" si="30"/>
        <v>5305.1278757659929</v>
      </c>
      <c r="V37" s="251">
        <f t="shared" si="30"/>
        <v>5269.9243430548577</v>
      </c>
      <c r="W37" s="24" t="s">
        <v>97</v>
      </c>
      <c r="Y37" s="538"/>
      <c r="Z37" s="3" t="s">
        <v>1</v>
      </c>
      <c r="AA37" s="2">
        <f t="shared" ref="AA37:AU37" si="31">AA$41*AA187</f>
        <v>9301.6700282371912</v>
      </c>
      <c r="AB37" s="2">
        <f t="shared" si="31"/>
        <v>9043.3186700417318</v>
      </c>
      <c r="AC37" s="2">
        <f t="shared" si="31"/>
        <v>8785.0759493670885</v>
      </c>
      <c r="AD37" s="2">
        <f t="shared" si="31"/>
        <v>8526.4146617605438</v>
      </c>
      <c r="AE37" s="2">
        <f t="shared" si="31"/>
        <v>8270.6554930795846</v>
      </c>
      <c r="AF37" s="2">
        <f t="shared" si="31"/>
        <v>8016.877017904314</v>
      </c>
      <c r="AG37" s="2">
        <f t="shared" si="31"/>
        <v>7762.5488553045043</v>
      </c>
      <c r="AH37" s="2">
        <f t="shared" si="31"/>
        <v>7509.9589523663653</v>
      </c>
      <c r="AI37" s="2">
        <f t="shared" si="31"/>
        <v>7257.8560201194596</v>
      </c>
      <c r="AJ37" s="2">
        <f t="shared" si="31"/>
        <v>7007.3055555555557</v>
      </c>
      <c r="AK37" s="2">
        <f t="shared" si="31"/>
        <v>6757.6414857047039</v>
      </c>
      <c r="AL37" s="2">
        <f t="shared" si="31"/>
        <v>6506.7277604707515</v>
      </c>
      <c r="AM37" s="2">
        <f t="shared" si="31"/>
        <v>6256.8815331010455</v>
      </c>
      <c r="AN37" s="2">
        <f t="shared" si="31"/>
        <v>6007.0708617826167</v>
      </c>
      <c r="AO37" s="2">
        <f t="shared" si="31"/>
        <v>5756.8301886792451</v>
      </c>
      <c r="AP37" s="2">
        <f t="shared" si="31"/>
        <v>5505.8735305642631</v>
      </c>
      <c r="AQ37" s="2">
        <f t="shared" si="31"/>
        <v>5254.9292258129472</v>
      </c>
      <c r="AR37" s="2">
        <f t="shared" si="31"/>
        <v>5004.4673564407658</v>
      </c>
      <c r="AS37" s="2">
        <f t="shared" si="31"/>
        <v>4753.3752923665743</v>
      </c>
      <c r="AT37" s="2">
        <f t="shared" si="31"/>
        <v>4581.4397349448836</v>
      </c>
      <c r="AU37" s="2">
        <f t="shared" si="31"/>
        <v>4374.055306940716</v>
      </c>
    </row>
    <row r="38" spans="1:48" x14ac:dyDescent="0.3">
      <c r="A38" s="245" t="s">
        <v>18</v>
      </c>
      <c r="B38" s="251">
        <f t="shared" ref="B38:V38" si="32">B$42*B57</f>
        <v>9213.5454134612828</v>
      </c>
      <c r="C38" s="251">
        <f t="shared" si="32"/>
        <v>9128.0480368407771</v>
      </c>
      <c r="D38" s="251">
        <f t="shared" si="32"/>
        <v>8945.8803519528883</v>
      </c>
      <c r="E38" s="251">
        <f t="shared" si="32"/>
        <v>8851.0528732165239</v>
      </c>
      <c r="F38" s="251">
        <f t="shared" si="32"/>
        <v>8787.3521841206584</v>
      </c>
      <c r="G38" s="251">
        <f t="shared" si="32"/>
        <v>8700.2551353946164</v>
      </c>
      <c r="H38" s="251">
        <f t="shared" si="32"/>
        <v>8572.714165914711</v>
      </c>
      <c r="I38" s="251">
        <f t="shared" si="32"/>
        <v>8530.4259026109448</v>
      </c>
      <c r="J38" s="251">
        <f t="shared" si="32"/>
        <v>8452.8402843567728</v>
      </c>
      <c r="K38" s="251">
        <f t="shared" si="32"/>
        <v>8410.9706103576063</v>
      </c>
      <c r="L38" s="251">
        <f t="shared" si="32"/>
        <v>8356.2476060677945</v>
      </c>
      <c r="M38" s="251">
        <f t="shared" si="32"/>
        <v>8331.8245047334567</v>
      </c>
      <c r="N38" s="251">
        <f t="shared" si="32"/>
        <v>8314.4832388486248</v>
      </c>
      <c r="O38" s="251">
        <f t="shared" si="32"/>
        <v>8354.8339778949357</v>
      </c>
      <c r="P38" s="251">
        <f t="shared" si="32"/>
        <v>8380.8987369977513</v>
      </c>
      <c r="Q38" s="251">
        <f t="shared" si="32"/>
        <v>8321.4224742384158</v>
      </c>
      <c r="R38" s="251">
        <f t="shared" si="32"/>
        <v>8239.9631020014731</v>
      </c>
      <c r="S38" s="251">
        <f t="shared" si="32"/>
        <v>8269.0749998566916</v>
      </c>
      <c r="T38" s="251">
        <f t="shared" si="32"/>
        <v>8216.8904493105765</v>
      </c>
      <c r="U38" s="251">
        <f t="shared" si="32"/>
        <v>8168.9936875798921</v>
      </c>
      <c r="V38" s="251">
        <f t="shared" si="32"/>
        <v>8131.6695217983752</v>
      </c>
      <c r="W38" s="1">
        <v>0.85</v>
      </c>
      <c r="Y38" s="538"/>
      <c r="Z38" s="3" t="s">
        <v>2</v>
      </c>
      <c r="AA38" s="2">
        <f t="shared" ref="AA38:AU38" si="33">AA$41*AA188</f>
        <v>1859.1353368293667</v>
      </c>
      <c r="AB38" s="2">
        <f t="shared" si="33"/>
        <v>1960.7248409386332</v>
      </c>
      <c r="AC38" s="2">
        <f t="shared" si="33"/>
        <v>2075.6871609403256</v>
      </c>
      <c r="AD38" s="2">
        <f t="shared" si="33"/>
        <v>2187.1219926408153</v>
      </c>
      <c r="AE38" s="2">
        <f t="shared" si="33"/>
        <v>2281.7257785467127</v>
      </c>
      <c r="AF38" s="2">
        <f t="shared" si="33"/>
        <v>2355.0777810390373</v>
      </c>
      <c r="AG38" s="2">
        <f t="shared" si="33"/>
        <v>2413.62621577136</v>
      </c>
      <c r="AH38" s="2">
        <f t="shared" si="33"/>
        <v>2439.5637923112272</v>
      </c>
      <c r="AI38" s="2">
        <f t="shared" si="33"/>
        <v>2446.5765482552656</v>
      </c>
      <c r="AJ38" s="2">
        <f t="shared" si="33"/>
        <v>2393.6203703703704</v>
      </c>
      <c r="AK38" s="2">
        <f t="shared" si="33"/>
        <v>2359.9262178251024</v>
      </c>
      <c r="AL38" s="2">
        <f t="shared" si="33"/>
        <v>2339.6197646244373</v>
      </c>
      <c r="AM38" s="2">
        <f t="shared" si="33"/>
        <v>2322.6027874564461</v>
      </c>
      <c r="AN38" s="2">
        <f t="shared" si="33"/>
        <v>2311.8084517438642</v>
      </c>
      <c r="AO38" s="2">
        <f t="shared" si="33"/>
        <v>2307.8201829616924</v>
      </c>
      <c r="AP38" s="2">
        <f t="shared" si="33"/>
        <v>2309.7751763322885</v>
      </c>
      <c r="AQ38" s="2">
        <f t="shared" si="33"/>
        <v>2318.6723044397463</v>
      </c>
      <c r="AR38" s="2">
        <f t="shared" si="33"/>
        <v>2332.8274185204345</v>
      </c>
      <c r="AS38" s="2">
        <f t="shared" si="33"/>
        <v>2351.1710610248779</v>
      </c>
      <c r="AT38" s="2">
        <f t="shared" si="33"/>
        <v>2365.1501975512015</v>
      </c>
      <c r="AU38" s="2">
        <f t="shared" si="33"/>
        <v>2391.4774656531577</v>
      </c>
    </row>
    <row r="39" spans="1:48" x14ac:dyDescent="0.3">
      <c r="A39" s="245" t="s">
        <v>60</v>
      </c>
      <c r="B39" s="251">
        <f t="shared" ref="B39:V39" si="34">B$42*B58</f>
        <v>1797.8753935856373</v>
      </c>
      <c r="C39" s="251">
        <f t="shared" si="34"/>
        <v>1884.7096478493252</v>
      </c>
      <c r="D39" s="251">
        <f t="shared" si="34"/>
        <v>1962.9847557287367</v>
      </c>
      <c r="E39" s="251">
        <f t="shared" si="34"/>
        <v>2052.5506188682216</v>
      </c>
      <c r="F39" s="251">
        <f t="shared" si="34"/>
        <v>2132.5322104154925</v>
      </c>
      <c r="G39" s="251">
        <f t="shared" si="34"/>
        <v>2186.0093548590698</v>
      </c>
      <c r="H39" s="251">
        <f t="shared" si="34"/>
        <v>2213.8874765520964</v>
      </c>
      <c r="I39" s="251">
        <f t="shared" si="34"/>
        <v>2232.9858692851426</v>
      </c>
      <c r="J39" s="251">
        <f t="shared" si="34"/>
        <v>2225.2348033038202</v>
      </c>
      <c r="K39" s="251">
        <f t="shared" si="34"/>
        <v>2168.9973908233133</v>
      </c>
      <c r="L39" s="251">
        <f t="shared" si="34"/>
        <v>2131.3150921235092</v>
      </c>
      <c r="M39" s="251">
        <f t="shared" si="34"/>
        <v>2111.488372912534</v>
      </c>
      <c r="N39" s="251">
        <f t="shared" si="34"/>
        <v>2096.4933040947644</v>
      </c>
      <c r="O39" s="251">
        <f t="shared" si="34"/>
        <v>2100.926935518557</v>
      </c>
      <c r="P39" s="251">
        <f t="shared" si="34"/>
        <v>2108.3512134398834</v>
      </c>
      <c r="Q39" s="251">
        <f t="shared" si="34"/>
        <v>2100.1771603654838</v>
      </c>
      <c r="R39" s="251">
        <f t="shared" si="34"/>
        <v>2091.9296021349023</v>
      </c>
      <c r="S39" s="251">
        <f t="shared" si="34"/>
        <v>2116.7681172706439</v>
      </c>
      <c r="T39" s="251">
        <f t="shared" si="34"/>
        <v>2124.7490640382762</v>
      </c>
      <c r="U39" s="251">
        <f t="shared" si="34"/>
        <v>2141.0299652287913</v>
      </c>
      <c r="V39" s="251">
        <f t="shared" si="34"/>
        <v>2164.7172693600378</v>
      </c>
      <c r="W39" s="24" t="s">
        <v>98</v>
      </c>
      <c r="Y39" s="538"/>
      <c r="Z39" s="3" t="s">
        <v>6</v>
      </c>
      <c r="AA39" s="2">
        <f t="shared" ref="AA39:AU39" si="35">AA$41*AA189</f>
        <v>329.63392496974586</v>
      </c>
      <c r="AB39" s="2">
        <f t="shared" si="35"/>
        <v>280.61750017103373</v>
      </c>
      <c r="AC39" s="2">
        <f t="shared" si="35"/>
        <v>232.76491862567812</v>
      </c>
      <c r="AD39" s="2">
        <f t="shared" si="35"/>
        <v>183.66062836116615</v>
      </c>
      <c r="AE39" s="2">
        <f t="shared" si="35"/>
        <v>134.50173010380621</v>
      </c>
      <c r="AF39" s="2">
        <f t="shared" si="35"/>
        <v>134.5758732022307</v>
      </c>
      <c r="AG39" s="2">
        <f t="shared" si="35"/>
        <v>135.8265748915158</v>
      </c>
      <c r="AH39" s="2">
        <f t="shared" si="35"/>
        <v>134.72936131107369</v>
      </c>
      <c r="AI39" s="2">
        <f t="shared" si="35"/>
        <v>132.44262810436967</v>
      </c>
      <c r="AJ39" s="2">
        <f t="shared" si="35"/>
        <v>128.9614197530864</v>
      </c>
      <c r="AK39" s="2">
        <f t="shared" si="35"/>
        <v>126.68315586484448</v>
      </c>
      <c r="AL39" s="2">
        <f t="shared" si="35"/>
        <v>124.40931118033922</v>
      </c>
      <c r="AM39" s="2">
        <f t="shared" si="35"/>
        <v>122.11498257839722</v>
      </c>
      <c r="AN39" s="2">
        <f t="shared" si="35"/>
        <v>119.82672079719505</v>
      </c>
      <c r="AO39" s="2">
        <f t="shared" si="35"/>
        <v>118.72250809986659</v>
      </c>
      <c r="AP39" s="2">
        <f t="shared" si="35"/>
        <v>116.39811912225706</v>
      </c>
      <c r="AQ39" s="2">
        <f t="shared" si="35"/>
        <v>115.2662841034934</v>
      </c>
      <c r="AR39" s="2">
        <f t="shared" si="35"/>
        <v>114.15188825659597</v>
      </c>
      <c r="AS39" s="2">
        <f t="shared" si="35"/>
        <v>113.00201998724219</v>
      </c>
      <c r="AT39" s="2">
        <f t="shared" si="35"/>
        <v>112.3853250287667</v>
      </c>
      <c r="AU39" s="2">
        <f t="shared" si="35"/>
        <v>111.91083788874447</v>
      </c>
    </row>
    <row r="40" spans="1:48" x14ac:dyDescent="0.3">
      <c r="A40" s="245" t="s">
        <v>6</v>
      </c>
      <c r="B40" s="251">
        <f t="shared" ref="B40:V40" si="36">B$42*B59</f>
        <v>366.30777888704364</v>
      </c>
      <c r="C40" s="251">
        <f t="shared" si="36"/>
        <v>365.43328026088653</v>
      </c>
      <c r="D40" s="251">
        <f t="shared" si="36"/>
        <v>361.07868365567708</v>
      </c>
      <c r="E40" s="251">
        <f t="shared" si="36"/>
        <v>360.02405098869559</v>
      </c>
      <c r="F40" s="251">
        <f t="shared" si="36"/>
        <v>359.75495169979098</v>
      </c>
      <c r="G40" s="251">
        <f t="shared" si="36"/>
        <v>357.89752626697435</v>
      </c>
      <c r="H40" s="251">
        <f t="shared" si="36"/>
        <v>353.87500917213811</v>
      </c>
      <c r="I40" s="251">
        <f t="shared" si="36"/>
        <v>352.39933898444258</v>
      </c>
      <c r="J40" s="251">
        <f t="shared" si="36"/>
        <v>348.89173119527334</v>
      </c>
      <c r="K40" s="251">
        <f t="shared" si="36"/>
        <v>345.03279369385757</v>
      </c>
      <c r="L40" s="251">
        <f t="shared" si="36"/>
        <v>341.28871751039145</v>
      </c>
      <c r="M40" s="251">
        <f t="shared" si="36"/>
        <v>339.12427452396952</v>
      </c>
      <c r="N40" s="251">
        <f t="shared" si="36"/>
        <v>337.36033917525202</v>
      </c>
      <c r="O40" s="251">
        <f t="shared" si="36"/>
        <v>338.10073049722786</v>
      </c>
      <c r="P40" s="251">
        <f t="shared" si="36"/>
        <v>338.46999934818371</v>
      </c>
      <c r="Q40" s="251">
        <f t="shared" si="36"/>
        <v>335.58771880658747</v>
      </c>
      <c r="R40" s="251">
        <f t="shared" si="36"/>
        <v>332.02139040589776</v>
      </c>
      <c r="S40" s="251">
        <f t="shared" si="36"/>
        <v>333.08468577593766</v>
      </c>
      <c r="T40" s="251">
        <f t="shared" si="36"/>
        <v>331.01069178978543</v>
      </c>
      <c r="U40" s="251">
        <f t="shared" si="36"/>
        <v>329.3767319089356</v>
      </c>
      <c r="V40" s="251">
        <f t="shared" si="36"/>
        <v>328.33303305494917</v>
      </c>
      <c r="Y40" s="538"/>
      <c r="Z40" s="3" t="s">
        <v>8</v>
      </c>
      <c r="AA40" s="2">
        <f t="shared" ref="AA40:AU40" si="37">AA$41*AA190</f>
        <v>74.317466720451804</v>
      </c>
      <c r="AB40" s="2">
        <f t="shared" si="37"/>
        <v>74.351645344461929</v>
      </c>
      <c r="AC40" s="2">
        <f t="shared" si="37"/>
        <v>74.388788426763114</v>
      </c>
      <c r="AD40" s="2">
        <f t="shared" si="37"/>
        <v>74.42456835550523</v>
      </c>
      <c r="AE40" s="2">
        <f t="shared" si="37"/>
        <v>75.657223183391011</v>
      </c>
      <c r="AF40" s="2">
        <f t="shared" si="37"/>
        <v>75.698928676254766</v>
      </c>
      <c r="AG40" s="2">
        <f t="shared" si="37"/>
        <v>75.726320514738887</v>
      </c>
      <c r="AH40" s="2">
        <f t="shared" si="37"/>
        <v>75.785265737478952</v>
      </c>
      <c r="AI40" s="2">
        <f t="shared" si="37"/>
        <v>75.8535051870481</v>
      </c>
      <c r="AJ40" s="2">
        <f t="shared" si="37"/>
        <v>74.725308641975303</v>
      </c>
      <c r="AK40" s="2">
        <f t="shared" si="37"/>
        <v>74.803387272574824</v>
      </c>
      <c r="AL40" s="2">
        <f t="shared" si="37"/>
        <v>73.679300796123229</v>
      </c>
      <c r="AM40" s="2">
        <f t="shared" si="37"/>
        <v>73.752613240418114</v>
      </c>
      <c r="AN40" s="2">
        <f t="shared" si="37"/>
        <v>73.832625945746443</v>
      </c>
      <c r="AO40" s="2">
        <f t="shared" si="37"/>
        <v>73.898704021345523</v>
      </c>
      <c r="AP40" s="2">
        <f t="shared" si="37"/>
        <v>73.96130485893417</v>
      </c>
      <c r="AQ40" s="2">
        <f t="shared" si="37"/>
        <v>72.799758381153737</v>
      </c>
      <c r="AR40" s="2">
        <f t="shared" si="37"/>
        <v>72.862907397827215</v>
      </c>
      <c r="AS40" s="2">
        <f t="shared" si="37"/>
        <v>72.904529024027227</v>
      </c>
      <c r="AT40" s="2">
        <f t="shared" si="37"/>
        <v>73.948580369509955</v>
      </c>
      <c r="AU40" s="2">
        <f t="shared" si="37"/>
        <v>74.602579728324983</v>
      </c>
    </row>
    <row r="41" spans="1:48" ht="15" thickBot="1" x14ac:dyDescent="0.35">
      <c r="A41" s="245" t="s">
        <v>8</v>
      </c>
      <c r="B41" s="251">
        <f t="shared" ref="B41:V41" si="38">B$42*B60</f>
        <v>71.935623815208103</v>
      </c>
      <c r="C41" s="251">
        <f t="shared" si="38"/>
        <v>71.763889531024233</v>
      </c>
      <c r="D41" s="251">
        <f t="shared" si="38"/>
        <v>70.908732634790454</v>
      </c>
      <c r="E41" s="251">
        <f t="shared" si="38"/>
        <v>70.701623577413329</v>
      </c>
      <c r="F41" s="251">
        <f t="shared" si="38"/>
        <v>70.648777783981359</v>
      </c>
      <c r="G41" s="251">
        <f t="shared" si="38"/>
        <v>70.284016059275814</v>
      </c>
      <c r="H41" s="251">
        <f t="shared" si="38"/>
        <v>69.494073029937056</v>
      </c>
      <c r="I41" s="251">
        <f t="shared" si="38"/>
        <v>69.204280506775504</v>
      </c>
      <c r="J41" s="251">
        <f t="shared" si="38"/>
        <v>68.515455510539809</v>
      </c>
      <c r="K41" s="251">
        <f t="shared" si="38"/>
        <v>67.757636287394533</v>
      </c>
      <c r="L41" s="251">
        <f t="shared" si="38"/>
        <v>67.022373561913781</v>
      </c>
      <c r="M41" s="251">
        <f t="shared" si="38"/>
        <v>66.597319644375418</v>
      </c>
      <c r="N41" s="251">
        <f t="shared" si="38"/>
        <v>66.250917528468335</v>
      </c>
      <c r="O41" s="251">
        <f t="shared" si="38"/>
        <v>66.396315782842095</v>
      </c>
      <c r="P41" s="251">
        <f t="shared" si="38"/>
        <v>66.46883290281626</v>
      </c>
      <c r="Q41" s="251">
        <f t="shared" si="38"/>
        <v>65.902809845920999</v>
      </c>
      <c r="R41" s="251">
        <f t="shared" si="38"/>
        <v>65.202453279612271</v>
      </c>
      <c r="S41" s="251">
        <f t="shared" si="38"/>
        <v>65.411263521032879</v>
      </c>
      <c r="T41" s="251">
        <f t="shared" si="38"/>
        <v>65.00397200340214</v>
      </c>
      <c r="U41" s="251">
        <f t="shared" si="38"/>
        <v>64.680606416832191</v>
      </c>
      <c r="V41" s="251">
        <f t="shared" si="38"/>
        <v>64.475459572628083</v>
      </c>
      <c r="Y41" s="539"/>
      <c r="Z41" s="292" t="s">
        <v>16</v>
      </c>
      <c r="AA41" s="8">
        <v>17829</v>
      </c>
      <c r="AB41" s="8">
        <v>17529</v>
      </c>
      <c r="AC41" s="8">
        <v>17251</v>
      </c>
      <c r="AD41" s="8">
        <v>16964</v>
      </c>
      <c r="AE41" s="8">
        <v>16659</v>
      </c>
      <c r="AF41" s="8">
        <v>16375</v>
      </c>
      <c r="AG41" s="8">
        <v>16066</v>
      </c>
      <c r="AH41" s="8">
        <v>15708</v>
      </c>
      <c r="AI41" s="8">
        <v>15320</v>
      </c>
      <c r="AJ41" s="8">
        <v>14839</v>
      </c>
      <c r="AK41" s="8">
        <v>14390</v>
      </c>
      <c r="AL41" s="8">
        <v>13958</v>
      </c>
      <c r="AM41" s="8">
        <v>13533</v>
      </c>
      <c r="AN41" s="8">
        <v>13118</v>
      </c>
      <c r="AO41" s="8">
        <v>12713</v>
      </c>
      <c r="AP41" s="8">
        <v>12377</v>
      </c>
      <c r="AQ41" s="8">
        <v>12052</v>
      </c>
      <c r="AR41" s="8">
        <v>11737</v>
      </c>
      <c r="AS41" s="8">
        <v>11429</v>
      </c>
      <c r="AT41" s="8">
        <f>10.309*12^2-513.33*12+15830</f>
        <v>11154.536</v>
      </c>
      <c r="AU41" s="8">
        <f>10.309*13^2-513.33*13+15830</f>
        <v>10898.930999999999</v>
      </c>
    </row>
    <row r="42" spans="1:48" x14ac:dyDescent="0.3">
      <c r="A42" s="252" t="s">
        <v>16</v>
      </c>
      <c r="B42" s="253">
        <v>17802.955598895758</v>
      </c>
      <c r="C42" s="253">
        <v>17760.454016592288</v>
      </c>
      <c r="D42" s="253">
        <v>17548.815895640582</v>
      </c>
      <c r="E42" s="253">
        <v>17497.559603457918</v>
      </c>
      <c r="F42" s="253">
        <v>17484.481085970194</v>
      </c>
      <c r="G42" s="253">
        <v>17394.208194116341</v>
      </c>
      <c r="H42" s="253">
        <v>17198.709497766653</v>
      </c>
      <c r="I42" s="253">
        <v>17126.990325135437</v>
      </c>
      <c r="J42" s="253">
        <v>16956.516779859787</v>
      </c>
      <c r="K42" s="253">
        <v>16768.968229279311</v>
      </c>
      <c r="L42" s="253">
        <v>16587.002063407406</v>
      </c>
      <c r="M42" s="253">
        <v>16481.807785249599</v>
      </c>
      <c r="N42" s="253">
        <v>16396.078612945501</v>
      </c>
      <c r="O42" s="253">
        <v>16432.062434722346</v>
      </c>
      <c r="P42" s="253">
        <v>16450.009301637361</v>
      </c>
      <c r="Q42" s="253">
        <v>16309.927339246331</v>
      </c>
      <c r="R42" s="253">
        <v>16136.599908522729</v>
      </c>
      <c r="S42" s="253">
        <v>16188.277217475452</v>
      </c>
      <c r="T42" s="253">
        <v>16087.478858892873</v>
      </c>
      <c r="U42" s="253">
        <v>16009.208866900444</v>
      </c>
      <c r="V42" s="253">
        <v>15959.119626840849</v>
      </c>
      <c r="W42">
        <v>15824.304696544637</v>
      </c>
      <c r="Y42" s="537" t="s">
        <v>13</v>
      </c>
      <c r="Z42" s="7"/>
      <c r="AA42" s="7">
        <v>2020</v>
      </c>
      <c r="AB42" s="7">
        <v>2021</v>
      </c>
      <c r="AC42" s="7">
        <v>2022</v>
      </c>
      <c r="AD42" s="7">
        <v>2023</v>
      </c>
      <c r="AE42" s="7">
        <v>2024</v>
      </c>
      <c r="AF42" s="7">
        <v>2025</v>
      </c>
      <c r="AG42" s="7">
        <v>2026</v>
      </c>
      <c r="AH42" s="7">
        <v>2027</v>
      </c>
      <c r="AI42" s="7">
        <v>2028</v>
      </c>
      <c r="AJ42" s="7">
        <v>2029</v>
      </c>
      <c r="AK42" s="7">
        <v>2030</v>
      </c>
      <c r="AL42" s="7">
        <v>2031</v>
      </c>
      <c r="AM42" s="7">
        <v>2032</v>
      </c>
      <c r="AN42" s="7">
        <v>2033</v>
      </c>
      <c r="AO42" s="7">
        <v>2034</v>
      </c>
      <c r="AP42" s="7">
        <v>2035</v>
      </c>
      <c r="AQ42" s="7">
        <v>2036</v>
      </c>
      <c r="AR42" s="7">
        <v>2037</v>
      </c>
      <c r="AS42" s="7">
        <v>2038</v>
      </c>
      <c r="AT42" s="7">
        <v>2039</v>
      </c>
      <c r="AU42" s="7">
        <v>2040</v>
      </c>
      <c r="AV42" s="22"/>
    </row>
    <row r="43" spans="1:48" x14ac:dyDescent="0.3">
      <c r="Y43" s="538"/>
      <c r="Z43" s="3" t="s">
        <v>0</v>
      </c>
      <c r="AA43" s="2">
        <f t="shared" ref="AA43:AU43" si="39">AA36*AA$199</f>
        <v>6041.8739792636525</v>
      </c>
      <c r="AB43" s="2">
        <f t="shared" si="39"/>
        <v>5863.1131012706091</v>
      </c>
      <c r="AC43" s="2">
        <f t="shared" si="39"/>
        <v>5739.9869686390903</v>
      </c>
      <c r="AD43" s="2">
        <f t="shared" si="39"/>
        <v>5629.8589868290373</v>
      </c>
      <c r="AE43" s="2">
        <f t="shared" si="39"/>
        <v>5495.6263287264583</v>
      </c>
      <c r="AF43" s="2">
        <f t="shared" si="39"/>
        <v>5332.0011657830109</v>
      </c>
      <c r="AG43" s="2">
        <f t="shared" si="39"/>
        <v>5204.5161731936932</v>
      </c>
      <c r="AH43" s="2">
        <f t="shared" si="39"/>
        <v>5047.4265192054163</v>
      </c>
      <c r="AI43" s="2">
        <f t="shared" si="39"/>
        <v>4885.0287501490002</v>
      </c>
      <c r="AJ43" s="2">
        <f t="shared" si="39"/>
        <v>4720.7702622917777</v>
      </c>
      <c r="AK43" s="2">
        <f t="shared" si="39"/>
        <v>4578.1379277321794</v>
      </c>
      <c r="AL43" s="2">
        <f t="shared" si="39"/>
        <v>4441.5964098433305</v>
      </c>
      <c r="AM43" s="2">
        <f t="shared" si="39"/>
        <v>4335.9928617033229</v>
      </c>
      <c r="AN43" s="2">
        <f t="shared" si="39"/>
        <v>4224.7182727072714</v>
      </c>
      <c r="AO43" s="2">
        <f t="shared" si="39"/>
        <v>4072.6682721808024</v>
      </c>
      <c r="AP43" s="2">
        <f t="shared" si="39"/>
        <v>3969.7359289471269</v>
      </c>
      <c r="AQ43" s="2">
        <f t="shared" si="39"/>
        <v>3923.1573806282204</v>
      </c>
      <c r="AR43" s="2">
        <f t="shared" si="39"/>
        <v>3840.0209708097627</v>
      </c>
      <c r="AS43" s="2">
        <f t="shared" si="39"/>
        <v>3764.0756908928361</v>
      </c>
      <c r="AT43" s="2">
        <f t="shared" si="39"/>
        <v>3686.58349178751</v>
      </c>
      <c r="AU43" s="2">
        <f t="shared" si="39"/>
        <v>3624.8318188757225</v>
      </c>
      <c r="AV43" s="293"/>
    </row>
    <row r="44" spans="1:48" x14ac:dyDescent="0.3">
      <c r="Y44" s="538"/>
      <c r="Z44" s="3" t="s">
        <v>1</v>
      </c>
      <c r="AA44" s="2">
        <f t="shared" ref="AA44:AU44" si="40">AA37*AA$199</f>
        <v>8971.4776270734674</v>
      </c>
      <c r="AB44" s="2">
        <f t="shared" si="40"/>
        <v>8593.5346737962409</v>
      </c>
      <c r="AC44" s="2">
        <f t="shared" si="40"/>
        <v>8289.582758259452</v>
      </c>
      <c r="AD44" s="2">
        <f t="shared" si="40"/>
        <v>8010.5946280942826</v>
      </c>
      <c r="AE44" s="2">
        <f t="shared" si="40"/>
        <v>7708.4273983582725</v>
      </c>
      <c r="AF44" s="2">
        <f t="shared" si="40"/>
        <v>7379.1976308036183</v>
      </c>
      <c r="AG44" s="2">
        <f t="shared" si="40"/>
        <v>7114.8953104328693</v>
      </c>
      <c r="AH44" s="2">
        <f t="shared" si="40"/>
        <v>6832.4119166087194</v>
      </c>
      <c r="AI44" s="2">
        <f t="shared" si="40"/>
        <v>6556.8811636379814</v>
      </c>
      <c r="AJ44" s="2">
        <f t="shared" si="40"/>
        <v>6319.7233030081497</v>
      </c>
      <c r="AK44" s="2">
        <f t="shared" si="40"/>
        <v>6100.9161392405285</v>
      </c>
      <c r="AL44" s="2">
        <f t="shared" si="40"/>
        <v>5881.7305456799468</v>
      </c>
      <c r="AM44" s="2">
        <f t="shared" si="40"/>
        <v>5702.3540176149172</v>
      </c>
      <c r="AN44" s="2">
        <f t="shared" si="40"/>
        <v>5510.4538206166062</v>
      </c>
      <c r="AO44" s="2">
        <f t="shared" si="40"/>
        <v>5261.9139829807436</v>
      </c>
      <c r="AP44" s="2">
        <f t="shared" si="40"/>
        <v>5000.4357429539259</v>
      </c>
      <c r="AQ44" s="2">
        <f t="shared" si="40"/>
        <v>4805.2020971438969</v>
      </c>
      <c r="AR44" s="2">
        <f t="shared" si="40"/>
        <v>4561.7545173557319</v>
      </c>
      <c r="AS44" s="2">
        <f t="shared" si="40"/>
        <v>4323.2719033390404</v>
      </c>
      <c r="AT44" s="2">
        <f t="shared" si="40"/>
        <v>4199.7734775657618</v>
      </c>
      <c r="AU44" s="2">
        <f t="shared" si="40"/>
        <v>4017.1465898363322</v>
      </c>
      <c r="AV44" s="24"/>
    </row>
    <row r="45" spans="1:48" ht="18" x14ac:dyDescent="0.35">
      <c r="A45" s="542" t="s">
        <v>965</v>
      </c>
      <c r="B45" s="542"/>
      <c r="C45" s="542"/>
      <c r="D45" s="542"/>
      <c r="E45" s="542"/>
      <c r="F45" s="542"/>
      <c r="G45" s="542"/>
      <c r="H45" s="542"/>
      <c r="I45" s="542"/>
      <c r="J45" s="542"/>
      <c r="K45" s="542"/>
      <c r="L45" s="542"/>
      <c r="M45" s="542"/>
      <c r="N45" s="542"/>
      <c r="O45" s="542"/>
      <c r="P45" s="542"/>
      <c r="Q45" s="542"/>
      <c r="R45" s="542"/>
      <c r="S45" s="542"/>
      <c r="T45" s="542"/>
      <c r="U45" s="542"/>
      <c r="V45" s="542"/>
      <c r="Y45" s="538"/>
      <c r="Z45" s="3" t="s">
        <v>2</v>
      </c>
      <c r="AA45" s="2">
        <f t="shared" ref="AA45:AU45" si="41">AA38*AA$199</f>
        <v>1793.1394071637819</v>
      </c>
      <c r="AB45" s="2">
        <f t="shared" si="41"/>
        <v>1863.2050380131091</v>
      </c>
      <c r="AC45" s="2">
        <f t="shared" si="41"/>
        <v>1958.6148827900647</v>
      </c>
      <c r="AD45" s="2">
        <f t="shared" si="41"/>
        <v>2054.8083080934512</v>
      </c>
      <c r="AE45" s="2">
        <f t="shared" si="41"/>
        <v>2126.6171129491386</v>
      </c>
      <c r="AF45" s="2">
        <f t="shared" si="41"/>
        <v>2167.7499035334372</v>
      </c>
      <c r="AG45" s="2">
        <f t="shared" si="41"/>
        <v>2212.2498890289876</v>
      </c>
      <c r="AH45" s="2">
        <f t="shared" si="41"/>
        <v>2219.466821541324</v>
      </c>
      <c r="AI45" s="2">
        <f t="shared" si="41"/>
        <v>2210.2824360504937</v>
      </c>
      <c r="AJ45" s="2">
        <f t="shared" si="41"/>
        <v>2158.7496525239399</v>
      </c>
      <c r="AK45" s="2">
        <f t="shared" si="41"/>
        <v>2130.5823903507357</v>
      </c>
      <c r="AL45" s="2">
        <f t="shared" si="41"/>
        <v>2114.889932612225</v>
      </c>
      <c r="AM45" s="2">
        <f t="shared" si="41"/>
        <v>2116.7578875049771</v>
      </c>
      <c r="AN45" s="2">
        <f t="shared" si="41"/>
        <v>2120.6864391250692</v>
      </c>
      <c r="AO45" s="2">
        <f t="shared" si="41"/>
        <v>2109.4162747429118</v>
      </c>
      <c r="AP45" s="2">
        <f t="shared" si="41"/>
        <v>2097.7384035074278</v>
      </c>
      <c r="AQ45" s="2">
        <f t="shared" si="41"/>
        <v>2120.2357902659865</v>
      </c>
      <c r="AR45" s="2">
        <f t="shared" si="41"/>
        <v>2126.4572744092115</v>
      </c>
      <c r="AS45" s="2">
        <f t="shared" si="41"/>
        <v>2138.4282037221483</v>
      </c>
      <c r="AT45" s="2">
        <f t="shared" si="41"/>
        <v>2168.1164971723583</v>
      </c>
      <c r="AU45" s="2">
        <f t="shared" si="41"/>
        <v>2196.3406659661664</v>
      </c>
    </row>
    <row r="46" spans="1:48" x14ac:dyDescent="0.3">
      <c r="A46" s="245"/>
      <c r="B46" s="242">
        <v>2020</v>
      </c>
      <c r="C46" s="242">
        <v>2021</v>
      </c>
      <c r="D46" s="242">
        <v>2022</v>
      </c>
      <c r="E46" s="242">
        <v>2023</v>
      </c>
      <c r="F46" s="242">
        <v>2024</v>
      </c>
      <c r="G46" s="242">
        <v>2025</v>
      </c>
      <c r="H46" s="242">
        <v>2026</v>
      </c>
      <c r="I46" s="242">
        <v>2027</v>
      </c>
      <c r="J46" s="242">
        <v>2028</v>
      </c>
      <c r="K46" s="242">
        <v>2029</v>
      </c>
      <c r="L46" s="242">
        <v>2030</v>
      </c>
      <c r="M46" s="242">
        <v>2031</v>
      </c>
      <c r="N46" s="242">
        <v>2032</v>
      </c>
      <c r="O46" s="242">
        <v>2033</v>
      </c>
      <c r="P46" s="242">
        <v>2034</v>
      </c>
      <c r="Q46" s="242">
        <v>2035</v>
      </c>
      <c r="R46" s="242">
        <v>2036</v>
      </c>
      <c r="S46" s="242">
        <v>2037</v>
      </c>
      <c r="T46" s="242">
        <v>2038</v>
      </c>
      <c r="U46" s="242">
        <v>2039</v>
      </c>
      <c r="V46" s="242">
        <v>2040</v>
      </c>
      <c r="Y46" s="538"/>
      <c r="Z46" s="3" t="s">
        <v>6</v>
      </c>
      <c r="AA46" s="2">
        <f t="shared" ref="AA46:AU46" si="42">AA39*AA$199</f>
        <v>317.93251900067054</v>
      </c>
      <c r="AB46" s="2">
        <f t="shared" si="42"/>
        <v>266.66053755050001</v>
      </c>
      <c r="AC46" s="2">
        <f t="shared" si="42"/>
        <v>219.63658223194943</v>
      </c>
      <c r="AD46" s="2">
        <f t="shared" si="42"/>
        <v>172.54976462036115</v>
      </c>
      <c r="AE46" s="2">
        <f t="shared" si="42"/>
        <v>125.35848244752816</v>
      </c>
      <c r="AF46" s="2">
        <f t="shared" si="42"/>
        <v>123.87142305905355</v>
      </c>
      <c r="AG46" s="2">
        <f t="shared" si="42"/>
        <v>124.49414216149185</v>
      </c>
      <c r="AH46" s="2">
        <f t="shared" si="42"/>
        <v>122.57410454271611</v>
      </c>
      <c r="AI46" s="2">
        <f t="shared" si="42"/>
        <v>119.65111612478066</v>
      </c>
      <c r="AJ46" s="2">
        <f t="shared" si="42"/>
        <v>116.30725721050429</v>
      </c>
      <c r="AK46" s="2">
        <f t="shared" si="42"/>
        <v>114.37175408324505</v>
      </c>
      <c r="AL46" s="2">
        <f t="shared" si="42"/>
        <v>112.45929946260154</v>
      </c>
      <c r="AM46" s="2">
        <f t="shared" si="42"/>
        <v>111.29231995731529</v>
      </c>
      <c r="AN46" s="2">
        <f t="shared" si="42"/>
        <v>109.92039658292242</v>
      </c>
      <c r="AO46" s="2">
        <f t="shared" si="42"/>
        <v>108.51590284766684</v>
      </c>
      <c r="AP46" s="2">
        <f t="shared" si="42"/>
        <v>105.71280143659479</v>
      </c>
      <c r="AQ46" s="2">
        <f t="shared" si="42"/>
        <v>105.40156989809979</v>
      </c>
      <c r="AR46" s="2">
        <f t="shared" si="42"/>
        <v>104.05360947135131</v>
      </c>
      <c r="AS46" s="2">
        <f t="shared" si="42"/>
        <v>102.77716948121954</v>
      </c>
      <c r="AT46" s="2">
        <f t="shared" si="42"/>
        <v>103.02283444291562</v>
      </c>
      <c r="AU46" s="2">
        <f t="shared" si="42"/>
        <v>102.77927672225239</v>
      </c>
    </row>
    <row r="47" spans="1:48" x14ac:dyDescent="0.3">
      <c r="A47" s="245" t="s">
        <v>17</v>
      </c>
      <c r="B47" s="264">
        <v>5480.356657296682</v>
      </c>
      <c r="C47" s="264">
        <v>5473.0382982024921</v>
      </c>
      <c r="D47" s="264">
        <v>5472.6013775907641</v>
      </c>
      <c r="E47" s="264">
        <v>5470.0417043448924</v>
      </c>
      <c r="F47" s="264">
        <v>5464.0324135719175</v>
      </c>
      <c r="G47" s="264">
        <v>5451.041214694671</v>
      </c>
      <c r="H47" s="264">
        <v>5430.6698478427288</v>
      </c>
      <c r="I47" s="264">
        <v>5396.3645307075512</v>
      </c>
      <c r="J47" s="264">
        <v>5353.2657847514802</v>
      </c>
      <c r="K47" s="264">
        <v>5284.2223348832167</v>
      </c>
      <c r="L47" s="264">
        <v>5223.048719333784</v>
      </c>
      <c r="M47" s="264">
        <v>5167.5012776252242</v>
      </c>
      <c r="N47" s="264">
        <v>5114.7631789781017</v>
      </c>
      <c r="O47" s="264">
        <v>5065.4196584142637</v>
      </c>
      <c r="P47" s="264">
        <v>5019.6522684211077</v>
      </c>
      <c r="Q47" s="264">
        <v>4977.6898049712545</v>
      </c>
      <c r="R47" s="264">
        <v>4939.7070636960007</v>
      </c>
      <c r="S47" s="264">
        <v>4904.9919747693884</v>
      </c>
      <c r="T47" s="264">
        <v>4872.9795130710691</v>
      </c>
      <c r="U47" s="264">
        <v>4847.3224</v>
      </c>
      <c r="V47" s="264">
        <v>4824.3719000000001</v>
      </c>
      <c r="W47" t="s">
        <v>86</v>
      </c>
      <c r="Y47" s="538"/>
      <c r="Z47" s="3" t="s">
        <v>8</v>
      </c>
      <c r="AA47" s="2">
        <f t="shared" ref="AA47:AU47" si="43">AA40*AA$199</f>
        <v>71.679331556514825</v>
      </c>
      <c r="AB47" s="2">
        <f t="shared" si="43"/>
        <v>70.65364670141453</v>
      </c>
      <c r="AC47" s="2">
        <f t="shared" si="43"/>
        <v>70.193134527736419</v>
      </c>
      <c r="AD47" s="2">
        <f t="shared" si="43"/>
        <v>69.922126839623459</v>
      </c>
      <c r="AE47" s="2">
        <f t="shared" si="43"/>
        <v>70.514146376734601</v>
      </c>
      <c r="AF47" s="2">
        <f t="shared" si="43"/>
        <v>69.677675470717631</v>
      </c>
      <c r="AG47" s="2">
        <f t="shared" si="43"/>
        <v>69.408238550212261</v>
      </c>
      <c r="AH47" s="2">
        <f t="shared" si="43"/>
        <v>68.947933805277813</v>
      </c>
      <c r="AI47" s="2">
        <f t="shared" si="43"/>
        <v>68.527457416919844</v>
      </c>
      <c r="AJ47" s="2">
        <f t="shared" si="43"/>
        <v>67.392990159357623</v>
      </c>
      <c r="AK47" s="2">
        <f t="shared" si="43"/>
        <v>67.533797649154209</v>
      </c>
      <c r="AL47" s="2">
        <f t="shared" si="43"/>
        <v>66.602109390472762</v>
      </c>
      <c r="AM47" s="2">
        <f t="shared" si="43"/>
        <v>67.216153637586459</v>
      </c>
      <c r="AN47" s="2">
        <f t="shared" si="43"/>
        <v>67.728729207659271</v>
      </c>
      <c r="AO47" s="2">
        <f t="shared" si="43"/>
        <v>67.545612997017116</v>
      </c>
      <c r="AP47" s="2">
        <f t="shared" si="43"/>
        <v>67.171675912836264</v>
      </c>
      <c r="AQ47" s="2">
        <f t="shared" si="43"/>
        <v>66.569412567220922</v>
      </c>
      <c r="AR47" s="2">
        <f t="shared" si="43"/>
        <v>66.4171975349051</v>
      </c>
      <c r="AS47" s="2">
        <f t="shared" si="43"/>
        <v>66.307851278206158</v>
      </c>
      <c r="AT47" s="2">
        <f t="shared" si="43"/>
        <v>67.788141830320143</v>
      </c>
      <c r="AU47" s="2">
        <f t="shared" si="43"/>
        <v>68.51525134423629</v>
      </c>
    </row>
    <row r="48" spans="1:48" ht="15" thickBot="1" x14ac:dyDescent="0.35">
      <c r="A48" s="245" t="s">
        <v>18</v>
      </c>
      <c r="B48" s="264">
        <v>7947.6151574326714</v>
      </c>
      <c r="C48" s="264">
        <v>7916.6727084637323</v>
      </c>
      <c r="D48" s="264">
        <v>7886.1994194887648</v>
      </c>
      <c r="E48" s="264">
        <v>7855.5603007662949</v>
      </c>
      <c r="F48" s="264">
        <v>7827.334004869952</v>
      </c>
      <c r="G48" s="264">
        <v>7800.5435182040446</v>
      </c>
      <c r="H48" s="264">
        <v>7773.8539113012002</v>
      </c>
      <c r="I48" s="264">
        <v>7747.1359751498258</v>
      </c>
      <c r="J48" s="264">
        <v>7720.5313559925753</v>
      </c>
      <c r="K48" s="264">
        <v>7694.5679451923252</v>
      </c>
      <c r="L48" s="264">
        <v>7668.9693598365757</v>
      </c>
      <c r="M48" s="264">
        <v>7643.6084637855738</v>
      </c>
      <c r="N48" s="264">
        <v>7619.2211265438555</v>
      </c>
      <c r="O48" s="264">
        <v>7595.5178370105741</v>
      </c>
      <c r="P48" s="264">
        <v>7572.0943851761976</v>
      </c>
      <c r="Q48" s="264">
        <v>7549.241664056136</v>
      </c>
      <c r="R48" s="264">
        <v>7527.1621241337916</v>
      </c>
      <c r="S48" s="264">
        <v>7505.5904378131654</v>
      </c>
      <c r="T48" s="264">
        <v>7484.4955120166032</v>
      </c>
      <c r="U48" s="264">
        <v>7464.0511999999999</v>
      </c>
      <c r="V48" s="264">
        <v>7444.1671999999999</v>
      </c>
      <c r="W48" s="24" t="s">
        <v>101</v>
      </c>
      <c r="Y48" s="539"/>
      <c r="Z48" s="292" t="s">
        <v>16</v>
      </c>
      <c r="AA48" s="8">
        <f>SUM(AA43:AA47)</f>
        <v>17196.102864058088</v>
      </c>
      <c r="AB48" s="8">
        <f t="shared" ref="AB48:AU48" si="44">SUM(AB43:AB47)</f>
        <v>16657.166997331875</v>
      </c>
      <c r="AC48" s="8">
        <f t="shared" si="44"/>
        <v>16278.014326448294</v>
      </c>
      <c r="AD48" s="8">
        <f t="shared" si="44"/>
        <v>15937.733814476756</v>
      </c>
      <c r="AE48" s="8">
        <f t="shared" si="44"/>
        <v>15526.54346885813</v>
      </c>
      <c r="AF48" s="8">
        <f t="shared" si="44"/>
        <v>15072.497798649836</v>
      </c>
      <c r="AG48" s="8">
        <f t="shared" si="44"/>
        <v>14725.563753367253</v>
      </c>
      <c r="AH48" s="8">
        <f t="shared" si="44"/>
        <v>14290.827295703453</v>
      </c>
      <c r="AI48" s="8">
        <f t="shared" si="44"/>
        <v>13840.370923379174</v>
      </c>
      <c r="AJ48" s="8">
        <f t="shared" si="44"/>
        <v>13382.94346519373</v>
      </c>
      <c r="AK48" s="8">
        <f t="shared" si="44"/>
        <v>12991.542009055844</v>
      </c>
      <c r="AL48" s="8">
        <f t="shared" si="44"/>
        <v>12617.278296988576</v>
      </c>
      <c r="AM48" s="8">
        <f t="shared" si="44"/>
        <v>12333.613240418119</v>
      </c>
      <c r="AN48" s="8">
        <f t="shared" si="44"/>
        <v>12033.507658239529</v>
      </c>
      <c r="AO48" s="8">
        <f t="shared" si="44"/>
        <v>11620.06004574914</v>
      </c>
      <c r="AP48" s="8">
        <f t="shared" si="44"/>
        <v>11240.794552757912</v>
      </c>
      <c r="AQ48" s="8">
        <f t="shared" si="44"/>
        <v>11020.566250503425</v>
      </c>
      <c r="AR48" s="8">
        <f t="shared" si="44"/>
        <v>10698.703569580963</v>
      </c>
      <c r="AS48" s="8">
        <f t="shared" si="44"/>
        <v>10394.860818713452</v>
      </c>
      <c r="AT48" s="8">
        <f t="shared" si="44"/>
        <v>10225.284442798866</v>
      </c>
      <c r="AU48" s="8">
        <f t="shared" si="44"/>
        <v>10009.613602744712</v>
      </c>
    </row>
    <row r="49" spans="1:48" x14ac:dyDescent="0.3">
      <c r="A49" s="245" t="s">
        <v>60</v>
      </c>
      <c r="B49" s="264">
        <v>1550.8494383020043</v>
      </c>
      <c r="C49" s="264">
        <v>1634.591467122809</v>
      </c>
      <c r="D49" s="264">
        <v>1730.4601260080412</v>
      </c>
      <c r="E49" s="264">
        <v>1821.6968520983378</v>
      </c>
      <c r="F49" s="264">
        <v>1899.5530778007646</v>
      </c>
      <c r="G49" s="264">
        <v>1959.9495461239592</v>
      </c>
      <c r="H49" s="264">
        <v>2007.5833027542567</v>
      </c>
      <c r="I49" s="264">
        <v>2027.9462429472931</v>
      </c>
      <c r="J49" s="264">
        <v>2032.4523468339071</v>
      </c>
      <c r="K49" s="264">
        <v>1984.2534910397544</v>
      </c>
      <c r="L49" s="264">
        <v>1956.0203225409132</v>
      </c>
      <c r="M49" s="264">
        <v>1937.0775739707433</v>
      </c>
      <c r="N49" s="264">
        <v>1921.1832672391752</v>
      </c>
      <c r="O49" s="264">
        <v>1909.9874462146777</v>
      </c>
      <c r="P49" s="264">
        <v>1904.8833408272983</v>
      </c>
      <c r="Q49" s="264">
        <v>1905.2926311593444</v>
      </c>
      <c r="R49" s="264">
        <v>1910.9664779590287</v>
      </c>
      <c r="S49" s="264">
        <v>1921.3266949845859</v>
      </c>
      <c r="T49" s="264">
        <v>1935.3641054433483</v>
      </c>
      <c r="U49" s="264">
        <v>1956.27</v>
      </c>
      <c r="V49" s="264">
        <v>1981.6985</v>
      </c>
    </row>
    <row r="50" spans="1:48" x14ac:dyDescent="0.3">
      <c r="A50" s="245" t="s">
        <v>6</v>
      </c>
      <c r="B50" s="264">
        <v>315.97752278017754</v>
      </c>
      <c r="C50" s="264">
        <v>316.93694697152506</v>
      </c>
      <c r="D50" s="264">
        <v>318.30724237369765</v>
      </c>
      <c r="E50" s="264">
        <v>319.53154983697169</v>
      </c>
      <c r="F50" s="264">
        <v>320.45172514522449</v>
      </c>
      <c r="G50" s="264">
        <v>320.88659300868665</v>
      </c>
      <c r="H50" s="264">
        <v>320.89867583623612</v>
      </c>
      <c r="I50" s="264">
        <v>320.04094846305202</v>
      </c>
      <c r="J50" s="264">
        <v>318.66561533459929</v>
      </c>
      <c r="K50" s="264">
        <v>315.64469754865024</v>
      </c>
      <c r="L50" s="264">
        <v>313.21866474427662</v>
      </c>
      <c r="M50" s="264">
        <v>311.11231082146759</v>
      </c>
      <c r="N50" s="264">
        <v>309.15006376969114</v>
      </c>
      <c r="O50" s="264">
        <v>307.37296946803474</v>
      </c>
      <c r="P50" s="264">
        <v>305.80572108583641</v>
      </c>
      <c r="Q50" s="264">
        <v>304.44708180641999</v>
      </c>
      <c r="R50" s="264">
        <v>303.29976036645917</v>
      </c>
      <c r="S50" s="264">
        <v>302.33094180246366</v>
      </c>
      <c r="T50" s="264">
        <v>301.50676249286323</v>
      </c>
      <c r="U50" s="264">
        <v>300.95320000000004</v>
      </c>
      <c r="V50" s="264">
        <v>300.57370000000003</v>
      </c>
      <c r="AV50" s="24"/>
    </row>
    <row r="51" spans="1:48" ht="18.600000000000001" thickBot="1" x14ac:dyDescent="0.35">
      <c r="A51" s="245" t="s">
        <v>8</v>
      </c>
      <c r="B51" s="264">
        <v>62.051754079143763</v>
      </c>
      <c r="C51" s="264">
        <v>62.240166069513393</v>
      </c>
      <c r="D51" s="264">
        <v>62.509265062895103</v>
      </c>
      <c r="E51" s="264">
        <v>62.749694904106299</v>
      </c>
      <c r="F51" s="264">
        <v>62.930399187863593</v>
      </c>
      <c r="G51" s="264">
        <v>63.015798660215466</v>
      </c>
      <c r="H51" s="264">
        <v>63.018171489260659</v>
      </c>
      <c r="I51" s="264">
        <v>62.8497307484147</v>
      </c>
      <c r="J51" s="264">
        <v>62.579642444940603</v>
      </c>
      <c r="K51" s="264">
        <v>61.986393767320457</v>
      </c>
      <c r="L51" s="264">
        <v>61.509968768350987</v>
      </c>
      <c r="M51" s="264">
        <v>61.096322397331384</v>
      </c>
      <c r="N51" s="264">
        <v>60.710975773849981</v>
      </c>
      <c r="O51" s="264">
        <v>60.361989499093511</v>
      </c>
      <c r="P51" s="264">
        <v>60.054212824545786</v>
      </c>
      <c r="Q51" s="264">
        <v>59.787402863802903</v>
      </c>
      <c r="R51" s="264">
        <v>59.56209155932855</v>
      </c>
      <c r="S51" s="264">
        <v>59.371834699437358</v>
      </c>
      <c r="T51" s="264">
        <v>59.209982136677624</v>
      </c>
      <c r="U51" s="264">
        <v>59.098999999999997</v>
      </c>
      <c r="V51" s="264">
        <v>59.024300000000004</v>
      </c>
      <c r="Z51" s="540" t="s">
        <v>503</v>
      </c>
      <c r="AA51" s="540"/>
      <c r="AB51" s="540"/>
      <c r="AC51" s="540"/>
      <c r="AD51" s="540"/>
      <c r="AE51" s="540"/>
      <c r="AF51" s="540"/>
      <c r="AG51" s="540"/>
      <c r="AH51" s="540"/>
      <c r="AI51" s="540"/>
      <c r="AJ51" s="540"/>
      <c r="AK51" s="540"/>
      <c r="AL51" s="540"/>
      <c r="AM51" s="540"/>
      <c r="AN51" s="540"/>
      <c r="AO51" s="540"/>
      <c r="AP51" s="540"/>
      <c r="AQ51" s="540"/>
      <c r="AR51" s="540"/>
      <c r="AS51" s="540"/>
      <c r="AT51" s="540"/>
      <c r="AU51" s="540"/>
    </row>
    <row r="52" spans="1:48" x14ac:dyDescent="0.3">
      <c r="A52" s="252" t="s">
        <v>16</v>
      </c>
      <c r="B52" s="265">
        <v>15356.85052989068</v>
      </c>
      <c r="C52" s="265">
        <v>15403.479586830073</v>
      </c>
      <c r="D52" s="265">
        <v>15470.077430524165</v>
      </c>
      <c r="E52" s="265">
        <v>15529.580101950603</v>
      </c>
      <c r="F52" s="265">
        <v>15574.301620575725</v>
      </c>
      <c r="G52" s="265">
        <v>15595.436670691575</v>
      </c>
      <c r="H52" s="265">
        <v>15596.023909223682</v>
      </c>
      <c r="I52" s="265">
        <v>15554.337428016137</v>
      </c>
      <c r="J52" s="265">
        <v>15487.494745357502</v>
      </c>
      <c r="K52" s="265">
        <v>15340.674862431266</v>
      </c>
      <c r="L52" s="265">
        <v>15222.7670352239</v>
      </c>
      <c r="M52" s="265">
        <v>15120.395948600339</v>
      </c>
      <c r="N52" s="265">
        <v>15025.028612304675</v>
      </c>
      <c r="O52" s="265">
        <v>14938.659900606644</v>
      </c>
      <c r="P52" s="265">
        <v>14862.489928334986</v>
      </c>
      <c r="Q52" s="265">
        <v>14796.458584856957</v>
      </c>
      <c r="R52" s="265">
        <v>14740.697517714609</v>
      </c>
      <c r="S52" s="265">
        <v>14693.61188406904</v>
      </c>
      <c r="T52" s="265">
        <v>14653.55587516056</v>
      </c>
      <c r="U52" s="265">
        <v>14627.6958</v>
      </c>
      <c r="V52" s="265">
        <v>14609.8356</v>
      </c>
      <c r="Y52" s="537" t="s">
        <v>14</v>
      </c>
      <c r="Z52" s="7"/>
      <c r="AA52" s="7">
        <v>2020</v>
      </c>
      <c r="AB52" s="7">
        <v>2021</v>
      </c>
      <c r="AC52" s="7">
        <v>2022</v>
      </c>
      <c r="AD52" s="7">
        <v>2023</v>
      </c>
      <c r="AE52" s="7">
        <v>2024</v>
      </c>
      <c r="AF52" s="7">
        <v>2025</v>
      </c>
      <c r="AG52" s="7">
        <v>2026</v>
      </c>
      <c r="AH52" s="7">
        <v>2027</v>
      </c>
      <c r="AI52" s="7">
        <v>2028</v>
      </c>
      <c r="AJ52" s="7">
        <v>2029</v>
      </c>
      <c r="AK52" s="7">
        <v>2030</v>
      </c>
      <c r="AL52" s="7">
        <v>2031</v>
      </c>
      <c r="AM52" s="7">
        <v>2032</v>
      </c>
      <c r="AN52" s="7">
        <v>2033</v>
      </c>
      <c r="AO52" s="7">
        <v>2034</v>
      </c>
      <c r="AP52" s="7">
        <v>2035</v>
      </c>
      <c r="AQ52" s="7">
        <v>2036</v>
      </c>
      <c r="AR52" s="7">
        <v>2037</v>
      </c>
      <c r="AS52" s="7">
        <v>2038</v>
      </c>
      <c r="AT52" s="7">
        <v>2039</v>
      </c>
      <c r="AU52" s="7">
        <v>2040</v>
      </c>
      <c r="AV52" s="22" t="s">
        <v>86</v>
      </c>
    </row>
    <row r="53" spans="1:48" x14ac:dyDescent="0.3">
      <c r="Y53" s="538"/>
      <c r="Z53" s="3" t="s">
        <v>0</v>
      </c>
      <c r="AA53" s="2">
        <f t="shared" ref="AA53:AU53" si="45">AA60*AA$205</f>
        <v>6380.243271289276</v>
      </c>
      <c r="AB53" s="2">
        <f t="shared" si="45"/>
        <v>6247.7182288822623</v>
      </c>
      <c r="AC53" s="2">
        <f t="shared" si="45"/>
        <v>6005.8173527078325</v>
      </c>
      <c r="AD53" s="2">
        <f t="shared" si="45"/>
        <v>6012.8427733025501</v>
      </c>
      <c r="AE53" s="2">
        <f t="shared" si="45"/>
        <v>5837.6379068626065</v>
      </c>
      <c r="AF53" s="2">
        <f t="shared" si="45"/>
        <v>5742.7594440976854</v>
      </c>
      <c r="AG53" s="2">
        <f t="shared" si="45"/>
        <v>5700.0393419924012</v>
      </c>
      <c r="AH53" s="2">
        <f t="shared" si="45"/>
        <v>5594.5332921101017</v>
      </c>
      <c r="AI53" s="2">
        <f t="shared" si="45"/>
        <v>5435.2221120108306</v>
      </c>
      <c r="AJ53" s="2">
        <f t="shared" si="45"/>
        <v>5238.2946908147733</v>
      </c>
      <c r="AK53" s="2">
        <f t="shared" si="45"/>
        <v>5057.715390532223</v>
      </c>
      <c r="AL53" s="2">
        <f t="shared" si="45"/>
        <v>4893.3942320438882</v>
      </c>
      <c r="AM53" s="2">
        <f t="shared" si="45"/>
        <v>4774.3074128471626</v>
      </c>
      <c r="AN53" s="2">
        <f t="shared" si="45"/>
        <v>4656.0371612213366</v>
      </c>
      <c r="AO53" s="2">
        <f t="shared" si="45"/>
        <v>4385.9415228341604</v>
      </c>
      <c r="AP53" s="2">
        <f t="shared" si="45"/>
        <v>4335.6152779756812</v>
      </c>
      <c r="AQ53" s="2">
        <f t="shared" si="45"/>
        <v>4181.3823817606753</v>
      </c>
      <c r="AR53" s="2">
        <f t="shared" si="45"/>
        <v>4159.821273027369</v>
      </c>
      <c r="AS53" s="2">
        <f t="shared" si="45"/>
        <v>3880.6019189901626</v>
      </c>
      <c r="AT53" s="2">
        <f t="shared" si="45"/>
        <v>3717.0888257971546</v>
      </c>
      <c r="AU53" s="2">
        <f t="shared" si="45"/>
        <v>3636.7990483213944</v>
      </c>
      <c r="AV53" s="24" t="s">
        <v>117</v>
      </c>
    </row>
    <row r="54" spans="1:48" ht="18" x14ac:dyDescent="0.35">
      <c r="A54" s="542" t="s">
        <v>966</v>
      </c>
      <c r="B54" s="542"/>
      <c r="C54" s="542"/>
      <c r="D54" s="542"/>
      <c r="E54" s="542"/>
      <c r="F54" s="542"/>
      <c r="G54" s="542"/>
      <c r="H54" s="542"/>
      <c r="I54" s="542"/>
      <c r="J54" s="542"/>
      <c r="K54" s="542"/>
      <c r="L54" s="542"/>
      <c r="M54" s="542"/>
      <c r="N54" s="542"/>
      <c r="O54" s="542"/>
      <c r="P54" s="542"/>
      <c r="Q54" s="542"/>
      <c r="R54" s="542"/>
      <c r="S54" s="542"/>
      <c r="T54" s="542"/>
      <c r="U54" s="542"/>
      <c r="V54" s="542"/>
      <c r="Y54" s="538"/>
      <c r="Z54" s="3" t="s">
        <v>1</v>
      </c>
      <c r="AA54" s="2">
        <f t="shared" ref="AA54:AU54" si="46">AA61*AA$205</f>
        <v>9473.9165298899297</v>
      </c>
      <c r="AB54" s="2">
        <f t="shared" si="46"/>
        <v>9157.2484283772865</v>
      </c>
      <c r="AC54" s="2">
        <f t="shared" si="46"/>
        <v>8673.4900703208568</v>
      </c>
      <c r="AD54" s="2">
        <f t="shared" si="46"/>
        <v>8555.5332970288473</v>
      </c>
      <c r="AE54" s="2">
        <f t="shared" si="46"/>
        <v>8188.1491373854933</v>
      </c>
      <c r="AF54" s="2">
        <f t="shared" si="46"/>
        <v>7947.6645946939962</v>
      </c>
      <c r="AG54" s="2">
        <f t="shared" si="46"/>
        <v>7792.3061114705597</v>
      </c>
      <c r="AH54" s="2">
        <f t="shared" si="46"/>
        <v>7572.9989901655163</v>
      </c>
      <c r="AI54" s="2">
        <f t="shared" si="46"/>
        <v>7295.3727212650383</v>
      </c>
      <c r="AJ54" s="2">
        <f t="shared" si="46"/>
        <v>7012.5363417907183</v>
      </c>
      <c r="AK54" s="2">
        <f t="shared" si="46"/>
        <v>6740.0104454844113</v>
      </c>
      <c r="AL54" s="2">
        <f t="shared" si="46"/>
        <v>6480.01836971987</v>
      </c>
      <c r="AM54" s="2">
        <f t="shared" si="46"/>
        <v>6278.7905620035745</v>
      </c>
      <c r="AN54" s="2">
        <f t="shared" si="46"/>
        <v>6073.0387466863331</v>
      </c>
      <c r="AO54" s="2">
        <f t="shared" si="46"/>
        <v>5666.6650670222753</v>
      </c>
      <c r="AP54" s="2">
        <f t="shared" si="46"/>
        <v>5461.3117828814338</v>
      </c>
      <c r="AQ54" s="2">
        <f t="shared" si="46"/>
        <v>5121.4839070716871</v>
      </c>
      <c r="AR54" s="2">
        <f t="shared" si="46"/>
        <v>4941.6614200477916</v>
      </c>
      <c r="AS54" s="2">
        <f t="shared" si="46"/>
        <v>4457.109426626399</v>
      </c>
      <c r="AT54" s="2">
        <f t="shared" si="46"/>
        <v>4234.5252994038919</v>
      </c>
      <c r="AU54" s="2">
        <f t="shared" si="46"/>
        <v>4030.4090299603486</v>
      </c>
      <c r="AV54" s="293" t="s">
        <v>108</v>
      </c>
    </row>
    <row r="55" spans="1:48" x14ac:dyDescent="0.3">
      <c r="A55" s="245"/>
      <c r="B55" s="242">
        <v>2020</v>
      </c>
      <c r="C55" s="242">
        <v>2021</v>
      </c>
      <c r="D55" s="242">
        <v>2022</v>
      </c>
      <c r="E55" s="242">
        <v>2023</v>
      </c>
      <c r="F55" s="242">
        <v>2024</v>
      </c>
      <c r="G55" s="242">
        <v>2025</v>
      </c>
      <c r="H55" s="242">
        <v>2026</v>
      </c>
      <c r="I55" s="242">
        <v>2027</v>
      </c>
      <c r="J55" s="242">
        <v>2028</v>
      </c>
      <c r="K55" s="242">
        <v>2029</v>
      </c>
      <c r="L55" s="242">
        <v>2030</v>
      </c>
      <c r="M55" s="242">
        <v>2031</v>
      </c>
      <c r="N55" s="242">
        <v>2032</v>
      </c>
      <c r="O55" s="242">
        <v>2033</v>
      </c>
      <c r="P55" s="242">
        <v>2034</v>
      </c>
      <c r="Q55" s="242">
        <v>2035</v>
      </c>
      <c r="R55" s="242">
        <v>2036</v>
      </c>
      <c r="S55" s="242">
        <v>2037</v>
      </c>
      <c r="T55" s="242">
        <v>2038</v>
      </c>
      <c r="U55" s="242">
        <v>2039</v>
      </c>
      <c r="V55" s="242">
        <v>2040</v>
      </c>
      <c r="Y55" s="538"/>
      <c r="Z55" s="3" t="s">
        <v>2</v>
      </c>
      <c r="AA55" s="2">
        <f t="shared" ref="AA55:AU55" si="47">AA62*AA$205</f>
        <v>1893.5624404457837</v>
      </c>
      <c r="AB55" s="2">
        <f t="shared" si="47"/>
        <v>1985.4264925602524</v>
      </c>
      <c r="AC55" s="2">
        <f t="shared" si="47"/>
        <v>2049.3222919496152</v>
      </c>
      <c r="AD55" s="2">
        <f t="shared" si="47"/>
        <v>2194.5912525956023</v>
      </c>
      <c r="AE55" s="2">
        <f t="shared" si="47"/>
        <v>2258.9637521464265</v>
      </c>
      <c r="AF55" s="2">
        <f t="shared" si="47"/>
        <v>2334.7455943645432</v>
      </c>
      <c r="AG55" s="2">
        <f t="shared" si="47"/>
        <v>2422.878704216922</v>
      </c>
      <c r="AH55" s="2">
        <f t="shared" si="47"/>
        <v>2460.0419593233496</v>
      </c>
      <c r="AI55" s="2">
        <f t="shared" si="47"/>
        <v>2459.2231867303508</v>
      </c>
      <c r="AJ55" s="2">
        <f t="shared" si="47"/>
        <v>2395.4071508077686</v>
      </c>
      <c r="AK55" s="2">
        <f t="shared" si="47"/>
        <v>2353.7690468429755</v>
      </c>
      <c r="AL55" s="2">
        <f t="shared" si="47"/>
        <v>2330.0158867917926</v>
      </c>
      <c r="AM55" s="2">
        <f t="shared" si="47"/>
        <v>2330.7355883302157</v>
      </c>
      <c r="AN55" s="2">
        <f t="shared" si="47"/>
        <v>2337.1960520191205</v>
      </c>
      <c r="AO55" s="2">
        <f t="shared" si="47"/>
        <v>2271.6744429035007</v>
      </c>
      <c r="AP55" s="2">
        <f t="shared" si="47"/>
        <v>2291.081027612669</v>
      </c>
      <c r="AQ55" s="2">
        <f t="shared" si="47"/>
        <v>2259.7912136721297</v>
      </c>
      <c r="AR55" s="2">
        <f t="shared" si="47"/>
        <v>2303.5504945187595</v>
      </c>
      <c r="AS55" s="2">
        <f t="shared" si="47"/>
        <v>2204.6285124033952</v>
      </c>
      <c r="AT55" s="2">
        <f t="shared" si="47"/>
        <v>2186.0569881622951</v>
      </c>
      <c r="AU55" s="2">
        <f t="shared" si="47"/>
        <v>2203.591792088379</v>
      </c>
    </row>
    <row r="56" spans="1:48" x14ac:dyDescent="0.3">
      <c r="A56" s="245" t="s">
        <v>17</v>
      </c>
      <c r="B56" s="266">
        <f t="shared" ref="B56:V56" si="48">B47/B$61</f>
        <v>0.35686722655987813</v>
      </c>
      <c r="C56" s="266">
        <f t="shared" si="48"/>
        <v>0.35531181557717145</v>
      </c>
      <c r="D56" s="266">
        <f t="shared" si="48"/>
        <v>0.3537539745465475</v>
      </c>
      <c r="E56" s="266">
        <f t="shared" si="48"/>
        <v>0.35223371581423663</v>
      </c>
      <c r="F56" s="266">
        <f t="shared" si="48"/>
        <v>0.35083643213594912</v>
      </c>
      <c r="G56" s="266">
        <f t="shared" si="48"/>
        <v>0.34952796319828511</v>
      </c>
      <c r="H56" s="266">
        <f t="shared" si="48"/>
        <v>0.34820861262151331</v>
      </c>
      <c r="I56" s="266">
        <f t="shared" si="48"/>
        <v>0.3469363163607172</v>
      </c>
      <c r="J56" s="266">
        <f t="shared" si="48"/>
        <v>0.34565085398050988</v>
      </c>
      <c r="K56" s="266">
        <f t="shared" si="48"/>
        <v>0.3444582707260212</v>
      </c>
      <c r="L56" s="266">
        <f t="shared" si="48"/>
        <v>0.3431077088185211</v>
      </c>
      <c r="M56" s="266">
        <f t="shared" si="48"/>
        <v>0.34175700789790286</v>
      </c>
      <c r="N56" s="266">
        <f t="shared" si="48"/>
        <v>0.34041620225530822</v>
      </c>
      <c r="O56" s="266">
        <f t="shared" si="48"/>
        <v>0.33908126245035958</v>
      </c>
      <c r="P56" s="266">
        <f t="shared" si="48"/>
        <v>0.33773965820163548</v>
      </c>
      <c r="Q56" s="266">
        <f t="shared" si="48"/>
        <v>0.33641089024271925</v>
      </c>
      <c r="R56" s="266">
        <f t="shared" si="48"/>
        <v>0.33510673818248532</v>
      </c>
      <c r="S56" s="266">
        <f t="shared" si="48"/>
        <v>0.33381798930509587</v>
      </c>
      <c r="T56" s="266">
        <f t="shared" si="48"/>
        <v>0.33254587177241546</v>
      </c>
      <c r="U56" s="266">
        <f t="shared" si="48"/>
        <v>0.33137976522590795</v>
      </c>
      <c r="V56" s="266">
        <f t="shared" si="48"/>
        <v>0.3302139758506249</v>
      </c>
      <c r="W56" t="s">
        <v>86</v>
      </c>
      <c r="Y56" s="538"/>
      <c r="Z56" s="3" t="s">
        <v>6</v>
      </c>
      <c r="AA56" s="2">
        <f t="shared" ref="AA56:AU56" si="49">AA63*AA$205</f>
        <v>335.7380213556354</v>
      </c>
      <c r="AB56" s="2">
        <f t="shared" si="49"/>
        <v>284.15278242146735</v>
      </c>
      <c r="AC56" s="2">
        <f t="shared" si="49"/>
        <v>229.80839574463894</v>
      </c>
      <c r="AD56" s="2">
        <f t="shared" si="49"/>
        <v>184.28784942213343</v>
      </c>
      <c r="AE56" s="2">
        <f t="shared" si="49"/>
        <v>133.15996854757879</v>
      </c>
      <c r="AF56" s="2">
        <f t="shared" si="49"/>
        <v>133.41403396368818</v>
      </c>
      <c r="AG56" s="2">
        <f t="shared" si="49"/>
        <v>136.3472577572272</v>
      </c>
      <c r="AH56" s="2">
        <f t="shared" si="49"/>
        <v>135.86030544586544</v>
      </c>
      <c r="AI56" s="2">
        <f t="shared" si="49"/>
        <v>133.12723943914304</v>
      </c>
      <c r="AJ56" s="2">
        <f t="shared" si="49"/>
        <v>129.0576863728254</v>
      </c>
      <c r="AK56" s="2">
        <f t="shared" si="49"/>
        <v>126.3526328826751</v>
      </c>
      <c r="AL56" s="2">
        <f t="shared" si="49"/>
        <v>123.89862485263534</v>
      </c>
      <c r="AM56" s="2">
        <f t="shared" si="49"/>
        <v>122.54257908451423</v>
      </c>
      <c r="AN56" s="2">
        <f t="shared" si="49"/>
        <v>121.14262259156696</v>
      </c>
      <c r="AO56" s="2">
        <f t="shared" si="49"/>
        <v>116.86304220710923</v>
      </c>
      <c r="AP56" s="2">
        <f t="shared" si="49"/>
        <v>115.45605178520539</v>
      </c>
      <c r="AQ56" s="2">
        <f t="shared" si="49"/>
        <v>112.33917598056114</v>
      </c>
      <c r="AR56" s="2">
        <f t="shared" si="49"/>
        <v>112.71928499987683</v>
      </c>
      <c r="AS56" s="2">
        <f t="shared" si="49"/>
        <v>105.95888974341901</v>
      </c>
      <c r="AT56" s="2">
        <f t="shared" si="49"/>
        <v>103.87531641770407</v>
      </c>
      <c r="AU56" s="2">
        <f t="shared" si="49"/>
        <v>103.11859817170293</v>
      </c>
    </row>
    <row r="57" spans="1:48" x14ac:dyDescent="0.3">
      <c r="A57" s="245" t="s">
        <v>18</v>
      </c>
      <c r="B57" s="266">
        <f t="shared" ref="B57:V57" si="50">B48/B$61</f>
        <v>0.51752897783066765</v>
      </c>
      <c r="C57" s="266">
        <f t="shared" si="50"/>
        <v>0.51395353003437372</v>
      </c>
      <c r="D57" s="266">
        <f t="shared" si="50"/>
        <v>0.50977116662185706</v>
      </c>
      <c r="E57" s="266">
        <f t="shared" si="50"/>
        <v>0.50584499060471</v>
      </c>
      <c r="F57" s="266">
        <f t="shared" si="50"/>
        <v>0.50258009608141929</v>
      </c>
      <c r="G57" s="266">
        <f t="shared" si="50"/>
        <v>0.50018115445677558</v>
      </c>
      <c r="H57" s="266">
        <f t="shared" si="50"/>
        <v>0.49845101267789454</v>
      </c>
      <c r="I57" s="266">
        <f t="shared" si="50"/>
        <v>0.49806917273093559</v>
      </c>
      <c r="J57" s="266">
        <f t="shared" si="50"/>
        <v>0.49850098307906543</v>
      </c>
      <c r="K57" s="266">
        <f t="shared" si="50"/>
        <v>0.50157949465678542</v>
      </c>
      <c r="L57" s="266">
        <f t="shared" si="50"/>
        <v>0.50378287614146477</v>
      </c>
      <c r="M57" s="266">
        <f t="shared" si="50"/>
        <v>0.50551642230593341</v>
      </c>
      <c r="N57" s="266">
        <f t="shared" si="50"/>
        <v>0.50710193791605362</v>
      </c>
      <c r="O57" s="266">
        <f t="shared" si="50"/>
        <v>0.50844706871612544</v>
      </c>
      <c r="P57" s="266">
        <f t="shared" si="50"/>
        <v>0.50947683878595462</v>
      </c>
      <c r="Q57" s="266">
        <f t="shared" si="50"/>
        <v>0.51020598075962631</v>
      </c>
      <c r="R57" s="266">
        <f t="shared" si="50"/>
        <v>0.51063812381252904</v>
      </c>
      <c r="S57" s="266">
        <f t="shared" si="50"/>
        <v>0.51080636245406763</v>
      </c>
      <c r="T57" s="266">
        <f t="shared" si="50"/>
        <v>0.51076309230196282</v>
      </c>
      <c r="U57" s="266">
        <f t="shared" si="50"/>
        <v>0.51026841835198677</v>
      </c>
      <c r="V57" s="266">
        <f t="shared" si="50"/>
        <v>0.50953120923550976</v>
      </c>
      <c r="W57" s="24" t="s">
        <v>102</v>
      </c>
      <c r="Y57" s="538"/>
      <c r="Z57" s="3" t="s">
        <v>8</v>
      </c>
      <c r="AA57" s="2">
        <f t="shared" ref="AA57:AU57" si="51">AA64*AA$205</f>
        <v>75.693662996543267</v>
      </c>
      <c r="AB57" s="2">
        <f t="shared" si="51"/>
        <v>75.288344060388766</v>
      </c>
      <c r="AC57" s="2">
        <f t="shared" si="51"/>
        <v>73.443920289523774</v>
      </c>
      <c r="AD57" s="2">
        <f t="shared" si="51"/>
        <v>74.678736367139038</v>
      </c>
      <c r="AE57" s="2">
        <f t="shared" si="51"/>
        <v>74.902482308013077</v>
      </c>
      <c r="AF57" s="2">
        <f t="shared" si="51"/>
        <v>75.045394104574612</v>
      </c>
      <c r="AG57" s="2">
        <f t="shared" si="51"/>
        <v>76.016612731905425</v>
      </c>
      <c r="AH57" s="2">
        <f t="shared" si="51"/>
        <v>76.421421813299304</v>
      </c>
      <c r="AI57" s="2">
        <f t="shared" si="51"/>
        <v>76.245600769690995</v>
      </c>
      <c r="AJ57" s="2">
        <f t="shared" si="51"/>
        <v>74.781089300141815</v>
      </c>
      <c r="AK57" s="2">
        <f t="shared" si="51"/>
        <v>74.608221321198627</v>
      </c>
      <c r="AL57" s="2">
        <f t="shared" si="51"/>
        <v>73.376855495250055</v>
      </c>
      <c r="AM57" s="2">
        <f t="shared" si="51"/>
        <v>74.010864595597695</v>
      </c>
      <c r="AN57" s="2">
        <f t="shared" si="51"/>
        <v>74.643434122076613</v>
      </c>
      <c r="AO57" s="2">
        <f t="shared" si="51"/>
        <v>72.741281373812882</v>
      </c>
      <c r="AP57" s="2">
        <f t="shared" si="51"/>
        <v>73.362699571849248</v>
      </c>
      <c r="AQ57" s="2">
        <f t="shared" si="51"/>
        <v>70.951058514038621</v>
      </c>
      <c r="AR57" s="2">
        <f t="shared" si="51"/>
        <v>71.948479787155421</v>
      </c>
      <c r="AS57" s="2">
        <f t="shared" si="51"/>
        <v>68.360574028012252</v>
      </c>
      <c r="AT57" s="2">
        <f t="shared" si="51"/>
        <v>68.349067661251041</v>
      </c>
      <c r="AU57" s="2">
        <f t="shared" si="51"/>
        <v>68.741451558297157</v>
      </c>
      <c r="AV57" s="24"/>
    </row>
    <row r="58" spans="1:48" ht="15" thickBot="1" x14ac:dyDescent="0.35">
      <c r="A58" s="245" t="s">
        <v>60</v>
      </c>
      <c r="B58" s="266">
        <f t="shared" ref="B58:V58" si="52">B49/B$61</f>
        <v>0.10098746714265534</v>
      </c>
      <c r="C58" s="266">
        <f t="shared" si="52"/>
        <v>0.10611832592165601</v>
      </c>
      <c r="D58" s="266">
        <f t="shared" si="52"/>
        <v>0.11185853036479657</v>
      </c>
      <c r="E58" s="266">
        <f t="shared" si="52"/>
        <v>0.11730496511425459</v>
      </c>
      <c r="F58" s="266">
        <f t="shared" si="52"/>
        <v>0.12196714331583268</v>
      </c>
      <c r="G58" s="266">
        <f t="shared" si="52"/>
        <v>0.12567455387814067</v>
      </c>
      <c r="H58" s="266">
        <f t="shared" si="52"/>
        <v>0.12872404623379341</v>
      </c>
      <c r="I58" s="266">
        <f t="shared" si="52"/>
        <v>0.13037818244154842</v>
      </c>
      <c r="J58" s="266">
        <f t="shared" si="52"/>
        <v>0.13123183447362594</v>
      </c>
      <c r="K58" s="266">
        <f t="shared" si="52"/>
        <v>0.12934590615039476</v>
      </c>
      <c r="L58" s="266">
        <f t="shared" si="52"/>
        <v>0.12849308657321534</v>
      </c>
      <c r="M58" s="266">
        <f t="shared" si="52"/>
        <v>0.12811024132936508</v>
      </c>
      <c r="N58" s="266">
        <f t="shared" si="52"/>
        <v>0.12786553136183923</v>
      </c>
      <c r="O58" s="266">
        <f t="shared" si="52"/>
        <v>0.12785534036671622</v>
      </c>
      <c r="P58" s="266">
        <f t="shared" si="52"/>
        <v>0.12816717454561119</v>
      </c>
      <c r="Q58" s="266">
        <f t="shared" si="52"/>
        <v>0.12876680053085579</v>
      </c>
      <c r="R58" s="266">
        <f t="shared" si="52"/>
        <v>0.12963880953818691</v>
      </c>
      <c r="S58" s="266">
        <f t="shared" si="52"/>
        <v>0.13075931977403782</v>
      </c>
      <c r="T58" s="266">
        <f t="shared" si="52"/>
        <v>0.13207470745882302</v>
      </c>
      <c r="U58" s="266">
        <f t="shared" si="52"/>
        <v>0.13373739970720475</v>
      </c>
      <c r="V58" s="266">
        <f t="shared" si="52"/>
        <v>0.13564139626595112</v>
      </c>
      <c r="Y58" s="539"/>
      <c r="Z58" s="292" t="s">
        <v>16</v>
      </c>
      <c r="AA58" s="8">
        <f>SUM(AA53:AA55)</f>
        <v>17747.72224162499</v>
      </c>
      <c r="AB58" s="8">
        <f t="shared" ref="AB58:AU58" si="53">SUM(AB53:AB55)</f>
        <v>17390.3931498198</v>
      </c>
      <c r="AC58" s="8">
        <f t="shared" si="53"/>
        <v>16728.629714978306</v>
      </c>
      <c r="AD58" s="8">
        <f t="shared" si="53"/>
        <v>16762.967322926997</v>
      </c>
      <c r="AE58" s="8">
        <f t="shared" si="53"/>
        <v>16284.750796394526</v>
      </c>
      <c r="AF58" s="8">
        <f t="shared" si="53"/>
        <v>16025.169633156225</v>
      </c>
      <c r="AG58" s="8">
        <f t="shared" si="53"/>
        <v>15915.224157679882</v>
      </c>
      <c r="AH58" s="8">
        <f t="shared" si="53"/>
        <v>15627.574241598966</v>
      </c>
      <c r="AI58" s="8">
        <f t="shared" si="53"/>
        <v>15189.81802000622</v>
      </c>
      <c r="AJ58" s="8">
        <f t="shared" si="53"/>
        <v>14646.238183413261</v>
      </c>
      <c r="AK58" s="8">
        <f t="shared" si="53"/>
        <v>14151.49488285961</v>
      </c>
      <c r="AL58" s="8">
        <f t="shared" si="53"/>
        <v>13703.42848855555</v>
      </c>
      <c r="AM58" s="8">
        <f t="shared" si="53"/>
        <v>13383.833563180953</v>
      </c>
      <c r="AN58" s="8">
        <f t="shared" si="53"/>
        <v>13066.271959926791</v>
      </c>
      <c r="AO58" s="8">
        <f t="shared" si="53"/>
        <v>12324.281032759936</v>
      </c>
      <c r="AP58" s="8">
        <f t="shared" si="53"/>
        <v>12088.008088469784</v>
      </c>
      <c r="AQ58" s="8">
        <f t="shared" si="53"/>
        <v>11562.657502504493</v>
      </c>
      <c r="AR58" s="8">
        <f t="shared" si="53"/>
        <v>11405.033187593919</v>
      </c>
      <c r="AS58" s="8">
        <f t="shared" si="53"/>
        <v>10542.339858019955</v>
      </c>
      <c r="AT58" s="8">
        <f t="shared" si="53"/>
        <v>10137.671113363342</v>
      </c>
      <c r="AU58" s="8">
        <f t="shared" si="53"/>
        <v>9870.7998703701214</v>
      </c>
    </row>
    <row r="59" spans="1:48" x14ac:dyDescent="0.3">
      <c r="A59" s="245" t="s">
        <v>6</v>
      </c>
      <c r="B59" s="266">
        <f t="shared" ref="B59:V59" si="54">B50/B$61</f>
        <v>2.0575672216458493E-2</v>
      </c>
      <c r="C59" s="266">
        <f t="shared" si="54"/>
        <v>2.057567221645849E-2</v>
      </c>
      <c r="D59" s="266">
        <f t="shared" si="54"/>
        <v>2.0575672216458493E-2</v>
      </c>
      <c r="E59" s="266">
        <f t="shared" si="54"/>
        <v>2.0575672216458493E-2</v>
      </c>
      <c r="F59" s="266">
        <f t="shared" si="54"/>
        <v>2.0575672216458497E-2</v>
      </c>
      <c r="G59" s="266">
        <f t="shared" si="54"/>
        <v>2.0575672216458497E-2</v>
      </c>
      <c r="H59" s="266">
        <f t="shared" si="54"/>
        <v>2.0575672216458493E-2</v>
      </c>
      <c r="I59" s="266">
        <f t="shared" si="54"/>
        <v>2.057567221645849E-2</v>
      </c>
      <c r="J59" s="266">
        <f t="shared" si="54"/>
        <v>2.0575672216458497E-2</v>
      </c>
      <c r="K59" s="266">
        <f t="shared" si="54"/>
        <v>2.0575672216458497E-2</v>
      </c>
      <c r="L59" s="266">
        <f t="shared" si="54"/>
        <v>2.0575672216458493E-2</v>
      </c>
      <c r="M59" s="266">
        <f t="shared" si="54"/>
        <v>2.0575672216458497E-2</v>
      </c>
      <c r="N59" s="266">
        <f t="shared" si="54"/>
        <v>2.057567221645849E-2</v>
      </c>
      <c r="O59" s="266">
        <f t="shared" si="54"/>
        <v>2.0575672216458493E-2</v>
      </c>
      <c r="P59" s="266">
        <f t="shared" si="54"/>
        <v>2.0575672216458497E-2</v>
      </c>
      <c r="Q59" s="266">
        <f t="shared" si="54"/>
        <v>2.057567221645849E-2</v>
      </c>
      <c r="R59" s="266">
        <f t="shared" si="54"/>
        <v>2.0575672216458493E-2</v>
      </c>
      <c r="S59" s="266">
        <f t="shared" si="54"/>
        <v>2.0575672216458493E-2</v>
      </c>
      <c r="T59" s="266">
        <f t="shared" si="54"/>
        <v>2.057567221645849E-2</v>
      </c>
      <c r="U59" s="266">
        <f t="shared" si="54"/>
        <v>2.0574204175069052E-2</v>
      </c>
      <c r="V59" s="266">
        <f t="shared" si="54"/>
        <v>2.0573380031736976E-2</v>
      </c>
      <c r="Y59" s="537" t="s">
        <v>15</v>
      </c>
      <c r="Z59" s="7"/>
      <c r="AA59" s="7">
        <v>2020</v>
      </c>
      <c r="AB59" s="7">
        <v>2021</v>
      </c>
      <c r="AC59" s="7">
        <v>2022</v>
      </c>
      <c r="AD59" s="7">
        <v>2023</v>
      </c>
      <c r="AE59" s="7">
        <v>2024</v>
      </c>
      <c r="AF59" s="7">
        <v>2025</v>
      </c>
      <c r="AG59" s="7">
        <v>2026</v>
      </c>
      <c r="AH59" s="7">
        <v>2027</v>
      </c>
      <c r="AI59" s="7">
        <v>2028</v>
      </c>
      <c r="AJ59" s="7">
        <v>2029</v>
      </c>
      <c r="AK59" s="7">
        <v>2030</v>
      </c>
      <c r="AL59" s="7">
        <v>2031</v>
      </c>
      <c r="AM59" s="7">
        <v>2032</v>
      </c>
      <c r="AN59" s="7">
        <v>2033</v>
      </c>
      <c r="AO59" s="7">
        <v>2034</v>
      </c>
      <c r="AP59" s="7">
        <v>2035</v>
      </c>
      <c r="AQ59" s="7">
        <v>2036</v>
      </c>
      <c r="AR59" s="7">
        <v>2037</v>
      </c>
      <c r="AS59" s="7">
        <v>2038</v>
      </c>
      <c r="AT59" s="7">
        <v>2039</v>
      </c>
      <c r="AU59" s="7">
        <v>2040</v>
      </c>
    </row>
    <row r="60" spans="1:48" x14ac:dyDescent="0.3">
      <c r="A60" s="245" t="s">
        <v>8</v>
      </c>
      <c r="B60" s="266">
        <f t="shared" ref="B60:V60" si="55">B51/B$61</f>
        <v>4.0406562503402504E-3</v>
      </c>
      <c r="C60" s="266">
        <f t="shared" si="55"/>
        <v>4.0406562503402504E-3</v>
      </c>
      <c r="D60" s="266">
        <f t="shared" si="55"/>
        <v>4.0406562503402504E-3</v>
      </c>
      <c r="E60" s="266">
        <f t="shared" si="55"/>
        <v>4.0406562503402512E-3</v>
      </c>
      <c r="F60" s="266">
        <f t="shared" si="55"/>
        <v>4.0406562503402504E-3</v>
      </c>
      <c r="G60" s="266">
        <f t="shared" si="55"/>
        <v>4.0406562503402512E-3</v>
      </c>
      <c r="H60" s="266">
        <f t="shared" si="55"/>
        <v>4.0406562503402504E-3</v>
      </c>
      <c r="I60" s="266">
        <f t="shared" si="55"/>
        <v>4.0406562503402504E-3</v>
      </c>
      <c r="J60" s="266">
        <f t="shared" si="55"/>
        <v>4.0406562503402521E-3</v>
      </c>
      <c r="K60" s="266">
        <f t="shared" si="55"/>
        <v>4.0406562503402504E-3</v>
      </c>
      <c r="L60" s="266">
        <f t="shared" si="55"/>
        <v>4.0406562503402512E-3</v>
      </c>
      <c r="M60" s="266">
        <f t="shared" si="55"/>
        <v>4.0406562503402521E-3</v>
      </c>
      <c r="N60" s="266">
        <f t="shared" si="55"/>
        <v>4.0406562503402504E-3</v>
      </c>
      <c r="O60" s="266">
        <f t="shared" si="55"/>
        <v>4.0406562503402512E-3</v>
      </c>
      <c r="P60" s="266">
        <f t="shared" si="55"/>
        <v>4.0406562503402504E-3</v>
      </c>
      <c r="Q60" s="266">
        <f t="shared" si="55"/>
        <v>4.0406562503402495E-3</v>
      </c>
      <c r="R60" s="266">
        <f t="shared" si="55"/>
        <v>4.0406562503402504E-3</v>
      </c>
      <c r="S60" s="266">
        <f t="shared" si="55"/>
        <v>4.0406562503402512E-3</v>
      </c>
      <c r="T60" s="266">
        <f t="shared" si="55"/>
        <v>4.0406562503402512E-3</v>
      </c>
      <c r="U60" s="266">
        <f t="shared" si="55"/>
        <v>4.0402125398314613E-3</v>
      </c>
      <c r="V60" s="266">
        <f t="shared" si="55"/>
        <v>4.0400386161771737E-3</v>
      </c>
      <c r="Y60" s="538"/>
      <c r="Z60" s="3" t="s">
        <v>0</v>
      </c>
      <c r="AA60" s="2">
        <f t="shared" ref="AA60:AU60" si="56">AA$65*AA186</f>
        <v>6117.0270270270275</v>
      </c>
      <c r="AB60" s="2">
        <f t="shared" si="56"/>
        <v>5940.1395635219269</v>
      </c>
      <c r="AC60" s="2">
        <f t="shared" si="56"/>
        <v>5651.8264014466549</v>
      </c>
      <c r="AD60" s="2">
        <f t="shared" si="56"/>
        <v>5543.0557599773565</v>
      </c>
      <c r="AE60" s="2">
        <f t="shared" si="56"/>
        <v>5427.121539792387</v>
      </c>
      <c r="AF60" s="2">
        <f t="shared" si="56"/>
        <v>5304.9395362488995</v>
      </c>
      <c r="AG60" s="2">
        <f t="shared" si="56"/>
        <v>5170.7406853209641</v>
      </c>
      <c r="AH60" s="2">
        <f t="shared" si="56"/>
        <v>5019.2320416602852</v>
      </c>
      <c r="AI60" s="2">
        <f t="shared" si="56"/>
        <v>4854.8966519962278</v>
      </c>
      <c r="AJ60" s="2">
        <f t="shared" si="56"/>
        <v>4659.4125243664721</v>
      </c>
      <c r="AK60" s="2">
        <f t="shared" si="56"/>
        <v>4470.8192336715019</v>
      </c>
      <c r="AL60" s="2">
        <f t="shared" si="56"/>
        <v>4287.3115264797507</v>
      </c>
      <c r="AM60" s="2">
        <f t="shared" si="56"/>
        <v>4102.6936478155994</v>
      </c>
      <c r="AN60" s="2">
        <f t="shared" si="56"/>
        <v>3922.9627237497693</v>
      </c>
      <c r="AO60" s="2">
        <f t="shared" si="56"/>
        <v>3743.8913664951401</v>
      </c>
      <c r="AP60" s="2">
        <f t="shared" si="56"/>
        <v>3621.5982562695922</v>
      </c>
      <c r="AQ60" s="2">
        <f t="shared" si="56"/>
        <v>3499.6895197825434</v>
      </c>
      <c r="AR60" s="2">
        <f t="shared" si="56"/>
        <v>3381.7814795654422</v>
      </c>
      <c r="AS60" s="2">
        <f t="shared" si="56"/>
        <v>3263.3289389751226</v>
      </c>
      <c r="AT60" s="2">
        <f t="shared" si="56"/>
        <v>2983.7962111186202</v>
      </c>
      <c r="AU60" s="2">
        <f t="shared" si="56"/>
        <v>2872.4551344757379</v>
      </c>
    </row>
    <row r="61" spans="1:48" x14ac:dyDescent="0.3">
      <c r="A61" s="252" t="s">
        <v>16</v>
      </c>
      <c r="B61" s="265">
        <v>15356.85052989068</v>
      </c>
      <c r="C61" s="265">
        <v>15403.479586830073</v>
      </c>
      <c r="D61" s="265">
        <v>15470.077430524165</v>
      </c>
      <c r="E61" s="265">
        <v>15529.580101950603</v>
      </c>
      <c r="F61" s="265">
        <v>15574.301620575725</v>
      </c>
      <c r="G61" s="265">
        <v>15595.436670691575</v>
      </c>
      <c r="H61" s="265">
        <v>15596.023909223682</v>
      </c>
      <c r="I61" s="265">
        <v>15554.337428016137</v>
      </c>
      <c r="J61" s="265">
        <v>15487.494745357502</v>
      </c>
      <c r="K61" s="265">
        <v>15340.674862431266</v>
      </c>
      <c r="L61" s="265">
        <v>15222.7670352239</v>
      </c>
      <c r="M61" s="265">
        <v>15120.395948600339</v>
      </c>
      <c r="N61" s="265">
        <v>15025.028612304675</v>
      </c>
      <c r="O61" s="265">
        <v>14938.659900606644</v>
      </c>
      <c r="P61" s="265">
        <v>14862.489928334986</v>
      </c>
      <c r="Q61" s="265">
        <v>14796.458584856957</v>
      </c>
      <c r="R61" s="265">
        <v>14740.697517714609</v>
      </c>
      <c r="S61" s="265">
        <v>14693.61188406904</v>
      </c>
      <c r="T61" s="265">
        <v>14653.55587516056</v>
      </c>
      <c r="U61" s="265">
        <v>14627.6958</v>
      </c>
      <c r="V61" s="265">
        <v>14609.8356</v>
      </c>
      <c r="Y61" s="538"/>
      <c r="Z61" s="3" t="s">
        <v>1</v>
      </c>
      <c r="AA61" s="2">
        <f t="shared" ref="AA61:AU61" si="57">AA$65*AA187</f>
        <v>9083.0711308323243</v>
      </c>
      <c r="AB61" s="2">
        <f t="shared" si="57"/>
        <v>8706.431962783061</v>
      </c>
      <c r="AC61" s="2">
        <f t="shared" si="57"/>
        <v>8162.2629016553065</v>
      </c>
      <c r="AD61" s="2">
        <f t="shared" si="57"/>
        <v>7887.0843475799602</v>
      </c>
      <c r="AE61" s="2">
        <f t="shared" si="57"/>
        <v>7612.3393166089963</v>
      </c>
      <c r="AF61" s="2">
        <f t="shared" si="57"/>
        <v>7341.745817434693</v>
      </c>
      <c r="AG61" s="2">
        <f t="shared" si="57"/>
        <v>7068.7221307795899</v>
      </c>
      <c r="AH61" s="2">
        <f t="shared" si="57"/>
        <v>6794.2466687088372</v>
      </c>
      <c r="AI61" s="2">
        <f t="shared" si="57"/>
        <v>6516.4366551398934</v>
      </c>
      <c r="AJ61" s="2">
        <f t="shared" si="57"/>
        <v>6237.583333333333</v>
      </c>
      <c r="AK61" s="2">
        <f t="shared" si="57"/>
        <v>5957.9011486543141</v>
      </c>
      <c r="AL61" s="2">
        <f t="shared" si="57"/>
        <v>5677.4206472827973</v>
      </c>
      <c r="AM61" s="2">
        <f t="shared" si="57"/>
        <v>5395.5373894398281</v>
      </c>
      <c r="AN61" s="2">
        <f t="shared" si="57"/>
        <v>5116.8630743679651</v>
      </c>
      <c r="AO61" s="2">
        <f t="shared" si="57"/>
        <v>4837.132075471698</v>
      </c>
      <c r="AP61" s="2">
        <f t="shared" si="57"/>
        <v>4561.9078173981188</v>
      </c>
      <c r="AQ61" s="2">
        <f t="shared" si="57"/>
        <v>4286.5258230141953</v>
      </c>
      <c r="AR61" s="2">
        <f t="shared" si="57"/>
        <v>4017.3887221934815</v>
      </c>
      <c r="AS61" s="2">
        <f t="shared" si="57"/>
        <v>3748.1335317882204</v>
      </c>
      <c r="AT61" s="2">
        <f t="shared" si="57"/>
        <v>3399.1548591894684</v>
      </c>
      <c r="AU61" s="2">
        <f t="shared" si="57"/>
        <v>3183.3403381169919</v>
      </c>
    </row>
    <row r="62" spans="1:48" ht="15" thickBot="1" x14ac:dyDescent="0.35">
      <c r="Y62" s="538"/>
      <c r="Z62" s="3" t="s">
        <v>2</v>
      </c>
      <c r="AA62" s="2">
        <f t="shared" ref="AA62:AU62" si="58">AA$65*AA188</f>
        <v>1815.4437273093988</v>
      </c>
      <c r="AB62" s="2">
        <f t="shared" si="58"/>
        <v>1887.6828350550729</v>
      </c>
      <c r="AC62" s="2">
        <f t="shared" si="58"/>
        <v>1928.5324801780498</v>
      </c>
      <c r="AD62" s="2">
        <f t="shared" si="58"/>
        <v>2023.1265213699407</v>
      </c>
      <c r="AE62" s="2">
        <f t="shared" si="58"/>
        <v>2100.1081314878893</v>
      </c>
      <c r="AF62" s="2">
        <f t="shared" si="58"/>
        <v>2156.747872028177</v>
      </c>
      <c r="AG62" s="2">
        <f t="shared" si="58"/>
        <v>2197.8931617537032</v>
      </c>
      <c r="AH62" s="2">
        <f t="shared" si="58"/>
        <v>2207.0690764282435</v>
      </c>
      <c r="AI62" s="2">
        <f t="shared" si="58"/>
        <v>2196.6488525620871</v>
      </c>
      <c r="AJ62" s="2">
        <f t="shared" si="58"/>
        <v>2130.6915204678362</v>
      </c>
      <c r="AK62" s="2">
        <f t="shared" si="58"/>
        <v>2080.6382158128613</v>
      </c>
      <c r="AL62" s="2">
        <f t="shared" si="58"/>
        <v>2041.4263586015923</v>
      </c>
      <c r="AM62" s="2">
        <f t="shared" si="58"/>
        <v>2002.865183596891</v>
      </c>
      <c r="AN62" s="2">
        <f t="shared" si="58"/>
        <v>1969.213877099096</v>
      </c>
      <c r="AO62" s="2">
        <f t="shared" si="58"/>
        <v>1939.1280731846769</v>
      </c>
      <c r="AP62" s="2">
        <f t="shared" si="58"/>
        <v>1913.7710619122256</v>
      </c>
      <c r="AQ62" s="2">
        <f t="shared" si="58"/>
        <v>1891.3763213530656</v>
      </c>
      <c r="AR62" s="2">
        <f t="shared" si="58"/>
        <v>1872.7017071908951</v>
      </c>
      <c r="AS62" s="2">
        <f t="shared" si="58"/>
        <v>1853.9464171805232</v>
      </c>
      <c r="AT62" s="2">
        <f t="shared" si="58"/>
        <v>1754.8002924490759</v>
      </c>
      <c r="AU62" s="2">
        <f t="shared" si="58"/>
        <v>1740.4642031003636</v>
      </c>
    </row>
    <row r="63" spans="1:48" x14ac:dyDescent="0.3">
      <c r="A63" s="267"/>
      <c r="B63" s="268"/>
      <c r="C63" s="268"/>
      <c r="D63" s="268"/>
      <c r="E63" s="268"/>
      <c r="F63" s="268"/>
      <c r="G63" s="268"/>
      <c r="H63" s="268"/>
      <c r="I63" s="7" t="s">
        <v>1059</v>
      </c>
      <c r="J63" s="268"/>
      <c r="K63" s="268"/>
      <c r="L63" s="268"/>
      <c r="M63" s="268">
        <v>0</v>
      </c>
      <c r="N63" s="268">
        <v>1</v>
      </c>
      <c r="O63" s="268">
        <v>2</v>
      </c>
      <c r="P63" s="268">
        <v>3</v>
      </c>
      <c r="Q63" s="268">
        <v>4</v>
      </c>
      <c r="R63" s="268">
        <v>5</v>
      </c>
      <c r="S63" s="268">
        <v>6</v>
      </c>
      <c r="T63" s="268">
        <v>7</v>
      </c>
      <c r="U63" s="268">
        <v>8</v>
      </c>
      <c r="V63" s="269">
        <v>9</v>
      </c>
      <c r="Y63" s="538"/>
      <c r="Z63" s="3" t="s">
        <v>6</v>
      </c>
      <c r="AA63" s="2">
        <f t="shared" ref="AA63:AU63" si="59">AA$65*AA189</f>
        <v>321.8871856931558</v>
      </c>
      <c r="AB63" s="2">
        <f t="shared" si="59"/>
        <v>270.16378189779027</v>
      </c>
      <c r="AC63" s="2">
        <f t="shared" si="59"/>
        <v>216.26317985811656</v>
      </c>
      <c r="AD63" s="2">
        <f t="shared" si="59"/>
        <v>169.88932918199831</v>
      </c>
      <c r="AE63" s="2">
        <f t="shared" si="59"/>
        <v>123.79584775086504</v>
      </c>
      <c r="AF63" s="2">
        <f t="shared" si="59"/>
        <v>123.24273554446727</v>
      </c>
      <c r="AG63" s="2">
        <f t="shared" si="59"/>
        <v>123.68621876402814</v>
      </c>
      <c r="AH63" s="2">
        <f t="shared" si="59"/>
        <v>121.88941644968602</v>
      </c>
      <c r="AI63" s="2">
        <f t="shared" si="59"/>
        <v>118.91307764853819</v>
      </c>
      <c r="AJ63" s="2">
        <f t="shared" si="59"/>
        <v>114.79556530214424</v>
      </c>
      <c r="AK63" s="2">
        <f t="shared" si="59"/>
        <v>111.69070176909534</v>
      </c>
      <c r="AL63" s="2">
        <f t="shared" si="59"/>
        <v>108.55287296642437</v>
      </c>
      <c r="AM63" s="2">
        <f t="shared" si="59"/>
        <v>105.30420798713483</v>
      </c>
      <c r="AN63" s="2">
        <f t="shared" si="59"/>
        <v>102.06920095958664</v>
      </c>
      <c r="AO63" s="2">
        <f t="shared" si="59"/>
        <v>99.755669906613306</v>
      </c>
      <c r="AP63" s="2">
        <f t="shared" si="59"/>
        <v>96.442006269592483</v>
      </c>
      <c r="AQ63" s="2">
        <f t="shared" si="59"/>
        <v>94.024463908184842</v>
      </c>
      <c r="AR63" s="2">
        <f t="shared" si="59"/>
        <v>91.636627004655978</v>
      </c>
      <c r="AS63" s="2">
        <f t="shared" si="59"/>
        <v>89.104401445885614</v>
      </c>
      <c r="AT63" s="2">
        <f t="shared" si="59"/>
        <v>83.383203921532299</v>
      </c>
      <c r="AU63" s="2">
        <f t="shared" si="59"/>
        <v>81.446223132665139</v>
      </c>
    </row>
    <row r="64" spans="1:48" ht="28.8" x14ac:dyDescent="0.3">
      <c r="A64" s="270" t="s">
        <v>916</v>
      </c>
      <c r="B64" s="274">
        <f>B55</f>
        <v>2020</v>
      </c>
      <c r="C64" s="274">
        <f t="shared" ref="C64:V64" si="60">C55</f>
        <v>2021</v>
      </c>
      <c r="D64" s="274">
        <f t="shared" si="60"/>
        <v>2022</v>
      </c>
      <c r="E64" s="274">
        <f t="shared" si="60"/>
        <v>2023</v>
      </c>
      <c r="F64" s="274">
        <f t="shared" si="60"/>
        <v>2024</v>
      </c>
      <c r="G64" s="274">
        <f t="shared" si="60"/>
        <v>2025</v>
      </c>
      <c r="H64" s="274">
        <f t="shared" si="60"/>
        <v>2026</v>
      </c>
      <c r="I64" s="274">
        <f t="shared" si="60"/>
        <v>2027</v>
      </c>
      <c r="J64" s="274">
        <f t="shared" si="60"/>
        <v>2028</v>
      </c>
      <c r="K64" s="274">
        <f t="shared" si="60"/>
        <v>2029</v>
      </c>
      <c r="L64" s="274">
        <f t="shared" si="60"/>
        <v>2030</v>
      </c>
      <c r="M64" s="274">
        <f t="shared" si="60"/>
        <v>2031</v>
      </c>
      <c r="N64" s="274">
        <f t="shared" si="60"/>
        <v>2032</v>
      </c>
      <c r="O64" s="274">
        <f t="shared" si="60"/>
        <v>2033</v>
      </c>
      <c r="P64" s="274">
        <f t="shared" si="60"/>
        <v>2034</v>
      </c>
      <c r="Q64" s="274">
        <f t="shared" si="60"/>
        <v>2035</v>
      </c>
      <c r="R64" s="274">
        <f t="shared" si="60"/>
        <v>2036</v>
      </c>
      <c r="S64" s="274">
        <f t="shared" si="60"/>
        <v>2037</v>
      </c>
      <c r="T64" s="274">
        <f t="shared" si="60"/>
        <v>2038</v>
      </c>
      <c r="U64" s="274">
        <f t="shared" si="60"/>
        <v>2039</v>
      </c>
      <c r="V64" s="275">
        <f t="shared" si="60"/>
        <v>2040</v>
      </c>
      <c r="Y64" s="538"/>
      <c r="Z64" s="250" t="s">
        <v>8</v>
      </c>
      <c r="AA64" s="335">
        <f t="shared" ref="AA64:AU64" si="61">AA$65*AA190</f>
        <v>72.570929138093319</v>
      </c>
      <c r="AB64" s="335">
        <f t="shared" si="61"/>
        <v>71.581856742149554</v>
      </c>
      <c r="AC64" s="335">
        <f t="shared" si="61"/>
        <v>69.115036861872298</v>
      </c>
      <c r="AD64" s="335">
        <f t="shared" si="61"/>
        <v>68.844041890744407</v>
      </c>
      <c r="AE64" s="335">
        <f t="shared" si="61"/>
        <v>69.635164359861591</v>
      </c>
      <c r="AF64" s="335">
        <f t="shared" si="61"/>
        <v>69.324038743762841</v>
      </c>
      <c r="AG64" s="335">
        <f t="shared" si="61"/>
        <v>68.957803381714797</v>
      </c>
      <c r="AH64" s="335">
        <f t="shared" si="61"/>
        <v>68.562796752948387</v>
      </c>
      <c r="AI64" s="335">
        <f t="shared" si="61"/>
        <v>68.104762653253687</v>
      </c>
      <c r="AJ64" s="335">
        <f t="shared" si="61"/>
        <v>66.517056530214418</v>
      </c>
      <c r="AK64" s="335">
        <f t="shared" si="61"/>
        <v>65.95070009222772</v>
      </c>
      <c r="AL64" s="335">
        <f t="shared" si="61"/>
        <v>64.288594669435795</v>
      </c>
      <c r="AM64" s="335">
        <f t="shared" si="61"/>
        <v>63.599571160546773</v>
      </c>
      <c r="AN64" s="335">
        <f t="shared" si="61"/>
        <v>62.891123823583683</v>
      </c>
      <c r="AO64" s="335">
        <f t="shared" si="61"/>
        <v>62.092814941871545</v>
      </c>
      <c r="AP64" s="335">
        <f t="shared" si="61"/>
        <v>61.280858150470216</v>
      </c>
      <c r="AQ64" s="335">
        <f t="shared" si="61"/>
        <v>59.383871942011481</v>
      </c>
      <c r="AR64" s="335">
        <f t="shared" si="61"/>
        <v>58.491464045525092</v>
      </c>
      <c r="AS64" s="335">
        <f t="shared" si="61"/>
        <v>57.486710610248778</v>
      </c>
      <c r="AT64" s="335">
        <f t="shared" si="61"/>
        <v>54.865433321302149</v>
      </c>
      <c r="AU64" s="335">
        <f t="shared" si="61"/>
        <v>54.294101174241199</v>
      </c>
    </row>
    <row r="65" spans="1:48" ht="15" thickBot="1" x14ac:dyDescent="0.35">
      <c r="A65" s="231" t="s">
        <v>917</v>
      </c>
      <c r="B65" s="271">
        <v>3084</v>
      </c>
      <c r="C65" s="271">
        <v>3039</v>
      </c>
      <c r="D65" s="271">
        <v>2995</v>
      </c>
      <c r="E65" s="271">
        <v>2951</v>
      </c>
      <c r="F65" s="271">
        <v>2910</v>
      </c>
      <c r="G65" s="271">
        <v>2871</v>
      </c>
      <c r="H65" s="271">
        <v>2833</v>
      </c>
      <c r="I65" s="271">
        <v>2794</v>
      </c>
      <c r="J65" s="271">
        <v>2756</v>
      </c>
      <c r="K65" s="271">
        <v>2718</v>
      </c>
      <c r="L65" s="271">
        <v>2681</v>
      </c>
      <c r="M65" s="271">
        <v>2644</v>
      </c>
      <c r="N65" s="271">
        <v>2609</v>
      </c>
      <c r="O65" s="271">
        <v>2575</v>
      </c>
      <c r="P65" s="271">
        <v>2541</v>
      </c>
      <c r="Q65" s="271">
        <v>2508</v>
      </c>
      <c r="R65" s="271">
        <v>2476</v>
      </c>
      <c r="S65" s="271">
        <v>2445</v>
      </c>
      <c r="T65" s="271">
        <v>2414</v>
      </c>
      <c r="U65" s="272">
        <f>2643*EXP(-0.013*U63)</f>
        <v>2381.9384610842444</v>
      </c>
      <c r="V65" s="273">
        <f>2643*EXP(-0.013*V63)</f>
        <v>2351.173665530896</v>
      </c>
      <c r="Y65" s="539"/>
      <c r="Z65" s="292" t="s">
        <v>16</v>
      </c>
      <c r="AA65" s="8">
        <v>17410</v>
      </c>
      <c r="AB65" s="8">
        <v>16876</v>
      </c>
      <c r="AC65" s="8">
        <v>16028</v>
      </c>
      <c r="AD65" s="8">
        <v>15692</v>
      </c>
      <c r="AE65" s="8">
        <v>15333</v>
      </c>
      <c r="AF65" s="8">
        <v>14996</v>
      </c>
      <c r="AG65" s="8">
        <v>14630</v>
      </c>
      <c r="AH65" s="8">
        <v>14211</v>
      </c>
      <c r="AI65" s="8">
        <v>13755</v>
      </c>
      <c r="AJ65" s="8">
        <v>13209</v>
      </c>
      <c r="AK65" s="8">
        <v>12687</v>
      </c>
      <c r="AL65" s="8">
        <v>12179</v>
      </c>
      <c r="AM65" s="8">
        <v>11670</v>
      </c>
      <c r="AN65" s="8">
        <v>11174</v>
      </c>
      <c r="AO65" s="8">
        <v>10682</v>
      </c>
      <c r="AP65" s="8">
        <v>10255</v>
      </c>
      <c r="AQ65" s="8">
        <v>9831</v>
      </c>
      <c r="AR65" s="8">
        <v>9422</v>
      </c>
      <c r="AS65" s="8">
        <v>9012</v>
      </c>
      <c r="AT65" s="8">
        <v>8276</v>
      </c>
      <c r="AU65" s="8">
        <v>7932</v>
      </c>
    </row>
    <row r="66" spans="1:48" ht="15" thickBot="1" x14ac:dyDescent="0.35">
      <c r="Y66" s="537" t="s">
        <v>13</v>
      </c>
      <c r="Z66" s="7"/>
      <c r="AA66" s="7">
        <v>2020</v>
      </c>
      <c r="AB66" s="7">
        <v>2021</v>
      </c>
      <c r="AC66" s="7">
        <v>2022</v>
      </c>
      <c r="AD66" s="7">
        <v>2023</v>
      </c>
      <c r="AE66" s="7">
        <v>2024</v>
      </c>
      <c r="AF66" s="7">
        <v>2025</v>
      </c>
      <c r="AG66" s="7">
        <v>2026</v>
      </c>
      <c r="AH66" s="7">
        <v>2027</v>
      </c>
      <c r="AI66" s="7">
        <v>2028</v>
      </c>
      <c r="AJ66" s="7">
        <v>2029</v>
      </c>
      <c r="AK66" s="7">
        <v>2030</v>
      </c>
      <c r="AL66" s="7">
        <v>2031</v>
      </c>
      <c r="AM66" s="7">
        <v>2032</v>
      </c>
      <c r="AN66" s="7">
        <v>2033</v>
      </c>
      <c r="AO66" s="7">
        <v>2034</v>
      </c>
      <c r="AP66" s="7">
        <v>2035</v>
      </c>
      <c r="AQ66" s="7">
        <v>2036</v>
      </c>
      <c r="AR66" s="7">
        <v>2037</v>
      </c>
      <c r="AS66" s="7">
        <v>2038</v>
      </c>
      <c r="AT66" s="7">
        <v>2039</v>
      </c>
      <c r="AU66" s="7">
        <v>2040</v>
      </c>
    </row>
    <row r="67" spans="1:48" x14ac:dyDescent="0.3">
      <c r="A67" s="267" t="s">
        <v>9</v>
      </c>
      <c r="B67" s="276">
        <f>SUM(B3:B11)</f>
        <v>18351</v>
      </c>
      <c r="C67" s="268"/>
      <c r="D67" s="268"/>
      <c r="E67" s="268"/>
      <c r="F67" s="268"/>
      <c r="G67" s="268"/>
      <c r="H67" s="269"/>
      <c r="Y67" s="538"/>
      <c r="Z67" s="3" t="s">
        <v>0</v>
      </c>
      <c r="AA67" s="2">
        <f t="shared" ref="AA67:AU67" si="62">AA60*AA$207</f>
        <v>5893.5894434732218</v>
      </c>
      <c r="AB67" s="2">
        <f t="shared" si="62"/>
        <v>5631.2846381393501</v>
      </c>
      <c r="AC67" s="2">
        <f t="shared" si="62"/>
        <v>5303.4202588825601</v>
      </c>
      <c r="AD67" s="2">
        <f t="shared" si="62"/>
        <v>5174.1221054761036</v>
      </c>
      <c r="AE67" s="2">
        <f t="shared" si="62"/>
        <v>5019.200639742633</v>
      </c>
      <c r="AF67" s="2">
        <f t="shared" si="62"/>
        <v>4835.0734630382831</v>
      </c>
      <c r="AG67" s="2">
        <f t="shared" si="62"/>
        <v>4687.3926081803811</v>
      </c>
      <c r="AH67" s="2">
        <f t="shared" si="62"/>
        <v>4507.7566657886755</v>
      </c>
      <c r="AI67" s="2">
        <f t="shared" si="62"/>
        <v>4320.2489830622344</v>
      </c>
      <c r="AJ67" s="2">
        <f t="shared" si="62"/>
        <v>4135.932042273057</v>
      </c>
      <c r="AK67" s="2">
        <f t="shared" si="62"/>
        <v>3963.9543709281515</v>
      </c>
      <c r="AL67" s="2">
        <f t="shared" si="62"/>
        <v>3800.5157209977006</v>
      </c>
      <c r="AM67" s="2">
        <f t="shared" si="62"/>
        <v>3666.8264303000269</v>
      </c>
      <c r="AN67" s="2">
        <f t="shared" si="62"/>
        <v>3528.1964051354175</v>
      </c>
      <c r="AO67" s="2">
        <f t="shared" si="62"/>
        <v>3344.7671480128547</v>
      </c>
      <c r="AP67" s="2">
        <f t="shared" si="62"/>
        <v>3201.8780872993252</v>
      </c>
      <c r="AQ67" s="2">
        <f t="shared" si="62"/>
        <v>3113.9112689959834</v>
      </c>
      <c r="AR67" s="2">
        <f t="shared" si="62"/>
        <v>2988.3905727588499</v>
      </c>
      <c r="AS67" s="2">
        <f t="shared" si="62"/>
        <v>2865.5100441394088</v>
      </c>
      <c r="AT67" s="2">
        <f t="shared" si="62"/>
        <v>2639.4151600607229</v>
      </c>
      <c r="AU67" s="2">
        <f t="shared" si="62"/>
        <v>2537.9952642906383</v>
      </c>
    </row>
    <row r="68" spans="1:48" x14ac:dyDescent="0.3">
      <c r="A68" s="18" t="s">
        <v>10</v>
      </c>
      <c r="B68">
        <v>14500</v>
      </c>
      <c r="C68">
        <f t="shared" ref="C68:H68" si="63">B68-250</f>
        <v>14250</v>
      </c>
      <c r="D68">
        <f t="shared" si="63"/>
        <v>14000</v>
      </c>
      <c r="E68">
        <f t="shared" si="63"/>
        <v>13750</v>
      </c>
      <c r="F68">
        <f t="shared" si="63"/>
        <v>13500</v>
      </c>
      <c r="G68">
        <f t="shared" si="63"/>
        <v>13250</v>
      </c>
      <c r="H68" s="235">
        <f t="shared" si="63"/>
        <v>13000</v>
      </c>
      <c r="Y68" s="538"/>
      <c r="Z68" s="3" t="s">
        <v>1</v>
      </c>
      <c r="AA68" s="2">
        <f t="shared" ref="AA68:AU68" si="64">AA61*AA$207</f>
        <v>8751.2923997995003</v>
      </c>
      <c r="AB68" s="2">
        <f t="shared" si="64"/>
        <v>8253.744889447782</v>
      </c>
      <c r="AC68" s="2">
        <f t="shared" si="64"/>
        <v>7659.101210165305</v>
      </c>
      <c r="AD68" s="2">
        <f t="shared" si="64"/>
        <v>7362.1372826916586</v>
      </c>
      <c r="AE68" s="2">
        <f t="shared" si="64"/>
        <v>7040.1700215697583</v>
      </c>
      <c r="AF68" s="2">
        <f t="shared" si="64"/>
        <v>6691.4769021761922</v>
      </c>
      <c r="AG68" s="2">
        <f t="shared" si="64"/>
        <v>6407.9554326056086</v>
      </c>
      <c r="AH68" s="2">
        <f t="shared" si="64"/>
        <v>6101.8917746137677</v>
      </c>
      <c r="AI68" s="2">
        <f t="shared" si="64"/>
        <v>5798.8111489421399</v>
      </c>
      <c r="AJ68" s="2">
        <f t="shared" si="64"/>
        <v>5536.7968901164058</v>
      </c>
      <c r="AK68" s="2">
        <f t="shared" si="64"/>
        <v>5282.4431195737752</v>
      </c>
      <c r="AL68" s="2">
        <f t="shared" si="64"/>
        <v>5032.7871654411538</v>
      </c>
      <c r="AM68" s="2">
        <f t="shared" si="64"/>
        <v>4822.3193841938082</v>
      </c>
      <c r="AN68" s="2">
        <f t="shared" si="64"/>
        <v>4601.9549957127674</v>
      </c>
      <c r="AO68" s="2">
        <f t="shared" si="64"/>
        <v>4321.4609807931174</v>
      </c>
      <c r="AP68" s="2">
        <f t="shared" si="64"/>
        <v>4033.2117598963205</v>
      </c>
      <c r="AQ68" s="2">
        <f t="shared" si="64"/>
        <v>3814.0129259110872</v>
      </c>
      <c r="AR68" s="2">
        <f t="shared" si="64"/>
        <v>3550.0598300199545</v>
      </c>
      <c r="AS68" s="2">
        <f t="shared" si="64"/>
        <v>3291.2141199863086</v>
      </c>
      <c r="AT68" s="2">
        <f t="shared" si="64"/>
        <v>3006.834325114733</v>
      </c>
      <c r="AU68" s="2">
        <f t="shared" si="64"/>
        <v>2812.6819478560342</v>
      </c>
    </row>
    <row r="69" spans="1:48" x14ac:dyDescent="0.3">
      <c r="A69" s="18"/>
      <c r="H69" s="235"/>
      <c r="Y69" s="538"/>
      <c r="Z69" s="3" t="s">
        <v>2</v>
      </c>
      <c r="AA69" s="2">
        <f t="shared" ref="AA69:AU69" si="65">AA62*AA$207</f>
        <v>1749.1307360939466</v>
      </c>
      <c r="AB69" s="2">
        <f t="shared" si="65"/>
        <v>1789.5336022075487</v>
      </c>
      <c r="AC69" s="2">
        <f t="shared" si="65"/>
        <v>1809.6483329125892</v>
      </c>
      <c r="AD69" s="2">
        <f t="shared" si="65"/>
        <v>1888.4716498752928</v>
      </c>
      <c r="AE69" s="2">
        <f t="shared" si="65"/>
        <v>1942.256866702852</v>
      </c>
      <c r="AF69" s="2">
        <f t="shared" si="65"/>
        <v>1965.7216319342529</v>
      </c>
      <c r="AG69" s="2">
        <f t="shared" si="65"/>
        <v>1992.4395337058008</v>
      </c>
      <c r="AH69" s="2">
        <f t="shared" si="65"/>
        <v>1982.1618643147081</v>
      </c>
      <c r="AI69" s="2">
        <f t="shared" si="65"/>
        <v>1954.7419135120149</v>
      </c>
      <c r="AJ69" s="2">
        <f t="shared" si="65"/>
        <v>1891.3103928055009</v>
      </c>
      <c r="AK69" s="2">
        <f t="shared" si="65"/>
        <v>1844.7524981050351</v>
      </c>
      <c r="AL69" s="2">
        <f t="shared" si="65"/>
        <v>1809.6359271318943</v>
      </c>
      <c r="AM69" s="2">
        <f t="shared" si="65"/>
        <v>1790.0822293789965</v>
      </c>
      <c r="AN69" s="2">
        <f t="shared" si="65"/>
        <v>1771.0525975844016</v>
      </c>
      <c r="AO69" s="2">
        <f t="shared" si="65"/>
        <v>1732.4038654063315</v>
      </c>
      <c r="AP69" s="2">
        <f t="shared" si="65"/>
        <v>1691.9771862150387</v>
      </c>
      <c r="AQ69" s="2">
        <f t="shared" si="65"/>
        <v>1682.8858696412117</v>
      </c>
      <c r="AR69" s="2">
        <f t="shared" si="65"/>
        <v>1654.8568147217502</v>
      </c>
      <c r="AS69" s="2">
        <f t="shared" si="65"/>
        <v>1627.9394995331052</v>
      </c>
      <c r="AT69" s="2">
        <f t="shared" si="65"/>
        <v>1552.2663637382541</v>
      </c>
      <c r="AU69" s="2">
        <f t="shared" si="65"/>
        <v>1537.8098867825547</v>
      </c>
    </row>
    <row r="70" spans="1:48" x14ac:dyDescent="0.3">
      <c r="A70" s="18" t="s">
        <v>3</v>
      </c>
      <c r="B70" s="1">
        <v>0.31</v>
      </c>
      <c r="H70" s="235"/>
      <c r="Y70" s="538"/>
      <c r="Z70" s="3" t="s">
        <v>6</v>
      </c>
      <c r="AA70" s="2">
        <f t="shared" ref="AA70:AU70" si="66">AA63*AA$207</f>
        <v>310.12956313722458</v>
      </c>
      <c r="AB70" s="2">
        <f t="shared" si="66"/>
        <v>256.11673572878681</v>
      </c>
      <c r="AC70" s="2">
        <f t="shared" si="66"/>
        <v>202.93166276592041</v>
      </c>
      <c r="AD70" s="2">
        <f t="shared" si="66"/>
        <v>158.58186741543346</v>
      </c>
      <c r="AE70" s="2">
        <f t="shared" si="66"/>
        <v>114.49093108985231</v>
      </c>
      <c r="AF70" s="2">
        <f t="shared" si="66"/>
        <v>112.32695039624303</v>
      </c>
      <c r="AG70" s="2">
        <f t="shared" si="66"/>
        <v>112.1243363091412</v>
      </c>
      <c r="AH70" s="2">
        <f t="shared" si="66"/>
        <v>109.46850532704501</v>
      </c>
      <c r="AI70" s="2">
        <f t="shared" si="66"/>
        <v>105.81772169602444</v>
      </c>
      <c r="AJ70" s="2">
        <f t="shared" si="66"/>
        <v>101.8983947785441</v>
      </c>
      <c r="AK70" s="2">
        <f t="shared" si="66"/>
        <v>99.028124898276445</v>
      </c>
      <c r="AL70" s="2">
        <f t="shared" si="66"/>
        <v>96.227413781406881</v>
      </c>
      <c r="AM70" s="2">
        <f t="shared" si="66"/>
        <v>94.116764792961305</v>
      </c>
      <c r="AN70" s="2">
        <f t="shared" si="66"/>
        <v>91.798014220343319</v>
      </c>
      <c r="AO70" s="2">
        <f t="shared" si="66"/>
        <v>89.121038745312603</v>
      </c>
      <c r="AP70" s="2">
        <f t="shared" si="66"/>
        <v>85.264992061230302</v>
      </c>
      <c r="AQ70" s="2">
        <f t="shared" si="66"/>
        <v>83.659946423817431</v>
      </c>
      <c r="AR70" s="2">
        <f t="shared" si="66"/>
        <v>80.976856108196003</v>
      </c>
      <c r="AS70" s="2">
        <f t="shared" si="66"/>
        <v>78.242053465932187</v>
      </c>
      <c r="AT70" s="2">
        <f t="shared" si="66"/>
        <v>73.759357862586185</v>
      </c>
      <c r="AU70" s="2">
        <f t="shared" si="66"/>
        <v>71.962874589089154</v>
      </c>
      <c r="AV70" s="293"/>
    </row>
    <row r="71" spans="1:48" x14ac:dyDescent="0.3">
      <c r="A71" s="18" t="s">
        <v>1</v>
      </c>
      <c r="B71" s="1">
        <v>0.41</v>
      </c>
      <c r="H71" s="235"/>
      <c r="Y71" s="538"/>
      <c r="Z71" s="3" t="s">
        <v>8</v>
      </c>
      <c r="AA71" s="2">
        <f t="shared" ref="AA71:AU71" si="67">AA64*AA$207</f>
        <v>69.92011968911973</v>
      </c>
      <c r="AB71" s="2">
        <f t="shared" si="67"/>
        <v>67.85998980848197</v>
      </c>
      <c r="AC71" s="2">
        <f t="shared" si="67"/>
        <v>64.854448925191051</v>
      </c>
      <c r="AD71" s="2">
        <f t="shared" si="67"/>
        <v>64.261933201025315</v>
      </c>
      <c r="AE71" s="2">
        <f t="shared" si="67"/>
        <v>64.401148738041925</v>
      </c>
      <c r="AF71" s="2">
        <f t="shared" si="67"/>
        <v>63.183909597886711</v>
      </c>
      <c r="AG71" s="2">
        <f t="shared" si="67"/>
        <v>62.511798119255708</v>
      </c>
      <c r="AH71" s="2">
        <f t="shared" si="67"/>
        <v>61.576034246462818</v>
      </c>
      <c r="AI71" s="2">
        <f t="shared" si="67"/>
        <v>60.60469515317763</v>
      </c>
      <c r="AJ71" s="2">
        <f t="shared" si="67"/>
        <v>59.043929684763874</v>
      </c>
      <c r="AK71" s="2">
        <f t="shared" si="67"/>
        <v>58.473749939934663</v>
      </c>
      <c r="AL71" s="2">
        <f t="shared" si="67"/>
        <v>56.989050880250673</v>
      </c>
      <c r="AM71" s="2">
        <f t="shared" si="67"/>
        <v>56.842798538323159</v>
      </c>
      <c r="AN71" s="2">
        <f t="shared" si="67"/>
        <v>56.562412802433762</v>
      </c>
      <c r="AO71" s="2">
        <f t="shared" si="67"/>
        <v>55.473299627184375</v>
      </c>
      <c r="AP71" s="2">
        <f t="shared" si="67"/>
        <v>54.178797038906751</v>
      </c>
      <c r="AQ71" s="2">
        <f t="shared" si="67"/>
        <v>52.837860899253116</v>
      </c>
      <c r="AR71" s="2">
        <f t="shared" si="67"/>
        <v>51.687354962678299</v>
      </c>
      <c r="AS71" s="2">
        <f t="shared" si="67"/>
        <v>50.478744171569147</v>
      </c>
      <c r="AT71" s="2">
        <f t="shared" si="67"/>
        <v>48.533025121462835</v>
      </c>
      <c r="AU71" s="2">
        <f t="shared" si="67"/>
        <v>47.972262475142536</v>
      </c>
    </row>
    <row r="72" spans="1:48" ht="15" thickBot="1" x14ac:dyDescent="0.35">
      <c r="A72" s="18" t="s">
        <v>7</v>
      </c>
      <c r="B72" s="1">
        <v>0.13</v>
      </c>
      <c r="H72" s="235"/>
      <c r="Y72" s="539"/>
      <c r="Z72" s="292" t="s">
        <v>16</v>
      </c>
      <c r="AA72" s="8">
        <f>SUM(AA67:AA69)</f>
        <v>16394.01257936667</v>
      </c>
      <c r="AB72" s="8">
        <f t="shared" ref="AB72:AU72" si="68">SUM(AB67:AB69)</f>
        <v>15674.56312979468</v>
      </c>
      <c r="AC72" s="8">
        <f t="shared" si="68"/>
        <v>14772.169801960454</v>
      </c>
      <c r="AD72" s="8">
        <f t="shared" si="68"/>
        <v>14424.731038043055</v>
      </c>
      <c r="AE72" s="8">
        <f t="shared" si="68"/>
        <v>14001.627528015242</v>
      </c>
      <c r="AF72" s="8">
        <f t="shared" si="68"/>
        <v>13492.271997148729</v>
      </c>
      <c r="AG72" s="8">
        <f t="shared" si="68"/>
        <v>13087.787574491791</v>
      </c>
      <c r="AH72" s="8">
        <f t="shared" si="68"/>
        <v>12591.810304717152</v>
      </c>
      <c r="AI72" s="8">
        <f t="shared" si="68"/>
        <v>12073.80204551639</v>
      </c>
      <c r="AJ72" s="8">
        <f t="shared" si="68"/>
        <v>11564.039325194963</v>
      </c>
      <c r="AK72" s="8">
        <f t="shared" si="68"/>
        <v>11091.149988606963</v>
      </c>
      <c r="AL72" s="8">
        <f t="shared" si="68"/>
        <v>10642.938813570749</v>
      </c>
      <c r="AM72" s="8">
        <f t="shared" si="68"/>
        <v>10279.228043872832</v>
      </c>
      <c r="AN72" s="8">
        <f t="shared" si="68"/>
        <v>9901.2039984325856</v>
      </c>
      <c r="AO72" s="8">
        <f t="shared" si="68"/>
        <v>9398.6319942123046</v>
      </c>
      <c r="AP72" s="8">
        <f t="shared" si="68"/>
        <v>8927.0670334106853</v>
      </c>
      <c r="AQ72" s="8">
        <f t="shared" si="68"/>
        <v>8610.8100645482828</v>
      </c>
      <c r="AR72" s="8">
        <f t="shared" si="68"/>
        <v>8193.3072175005545</v>
      </c>
      <c r="AS72" s="8">
        <f t="shared" si="68"/>
        <v>7784.6636636588219</v>
      </c>
      <c r="AT72" s="8">
        <f t="shared" si="68"/>
        <v>7198.5158489137102</v>
      </c>
      <c r="AU72" s="8">
        <f t="shared" si="68"/>
        <v>6888.4870989292276</v>
      </c>
      <c r="AV72" s="24"/>
    </row>
    <row r="73" spans="1:48" x14ac:dyDescent="0.3">
      <c r="A73" s="18" t="s">
        <v>8</v>
      </c>
      <c r="B73" s="1">
        <v>0.15</v>
      </c>
      <c r="H73" s="235"/>
    </row>
    <row r="74" spans="1:48" x14ac:dyDescent="0.3">
      <c r="A74" s="18"/>
      <c r="B74" s="1">
        <f>SUM(B70:B73)</f>
        <v>1</v>
      </c>
      <c r="H74" s="235"/>
      <c r="L74" s="20"/>
    </row>
    <row r="75" spans="1:48" ht="18.600000000000001" thickBot="1" x14ac:dyDescent="0.35">
      <c r="A75" s="18" t="s">
        <v>4</v>
      </c>
      <c r="B75">
        <v>3.3</v>
      </c>
      <c r="H75" s="235"/>
      <c r="L75" s="20"/>
      <c r="Z75" s="540" t="s">
        <v>1084</v>
      </c>
      <c r="AA75" s="540"/>
      <c r="AB75" s="540"/>
      <c r="AC75" s="540"/>
      <c r="AD75" s="540"/>
      <c r="AE75" s="540"/>
      <c r="AF75" s="540"/>
      <c r="AG75" s="540"/>
      <c r="AH75" s="540"/>
      <c r="AI75" s="540"/>
      <c r="AJ75" s="540"/>
      <c r="AK75" s="540"/>
      <c r="AL75" s="540"/>
      <c r="AM75" s="540"/>
      <c r="AN75" s="540"/>
      <c r="AO75" s="540"/>
      <c r="AP75" s="540"/>
      <c r="AQ75" s="540"/>
      <c r="AR75" s="540"/>
      <c r="AS75" s="540"/>
      <c r="AT75" s="540"/>
      <c r="AU75" s="540"/>
    </row>
    <row r="76" spans="1:48" ht="15" thickBot="1" x14ac:dyDescent="0.35">
      <c r="A76" s="231" t="s">
        <v>5</v>
      </c>
      <c r="B76" s="271">
        <v>103</v>
      </c>
      <c r="C76" s="271"/>
      <c r="D76" s="271"/>
      <c r="E76" s="271"/>
      <c r="F76" s="271"/>
      <c r="G76" s="271"/>
      <c r="H76" s="236"/>
      <c r="L76" s="20"/>
      <c r="Y76" s="537"/>
      <c r="Z76" s="7"/>
      <c r="AA76" s="7">
        <v>2020</v>
      </c>
      <c r="AB76" s="7">
        <v>2021</v>
      </c>
      <c r="AC76" s="7">
        <v>2022</v>
      </c>
      <c r="AD76" s="7">
        <v>2023</v>
      </c>
      <c r="AE76" s="7">
        <v>2024</v>
      </c>
      <c r="AF76" s="7">
        <v>2025</v>
      </c>
      <c r="AG76" s="7">
        <v>2026</v>
      </c>
      <c r="AH76" s="7">
        <v>2027</v>
      </c>
      <c r="AI76" s="7">
        <v>2028</v>
      </c>
      <c r="AJ76" s="7">
        <v>2029</v>
      </c>
      <c r="AK76" s="7">
        <v>2030</v>
      </c>
      <c r="AL76" s="7">
        <v>2031</v>
      </c>
      <c r="AM76" s="7">
        <v>2032</v>
      </c>
      <c r="AN76" s="7">
        <v>2033</v>
      </c>
      <c r="AO76" s="7">
        <v>2034</v>
      </c>
      <c r="AP76" s="7">
        <v>2035</v>
      </c>
      <c r="AQ76" s="7">
        <v>2036</v>
      </c>
      <c r="AR76" s="7">
        <v>2037</v>
      </c>
      <c r="AS76" s="7">
        <v>2038</v>
      </c>
      <c r="AT76" s="7">
        <v>2039</v>
      </c>
      <c r="AU76" s="7">
        <v>2040</v>
      </c>
      <c r="AV76" s="22" t="s">
        <v>86</v>
      </c>
    </row>
    <row r="77" spans="1:48" x14ac:dyDescent="0.3">
      <c r="L77" s="20"/>
      <c r="Y77" s="538"/>
      <c r="Z77" s="3" t="s">
        <v>0</v>
      </c>
      <c r="AA77" s="2">
        <f>$B$3</f>
        <v>6548.8704746003232</v>
      </c>
      <c r="AB77" s="2">
        <f>$AA77+($AU77-$AA77)/($AU$76-$AA$76)*(AB$76-$AA$76)</f>
        <v>6383.6447173377801</v>
      </c>
      <c r="AC77" s="2">
        <f t="shared" ref="AB77:AK79" si="69">$AA77+($AU77-$AA77)/($AU$76-$AA$76)*(AC$76-$AA$76)</f>
        <v>6218.4189600752379</v>
      </c>
      <c r="AD77" s="2">
        <f t="shared" si="69"/>
        <v>6053.1932028126948</v>
      </c>
      <c r="AE77" s="2">
        <f t="shared" si="69"/>
        <v>5887.9674455501527</v>
      </c>
      <c r="AF77" s="2">
        <f t="shared" si="69"/>
        <v>5722.7416882876096</v>
      </c>
      <c r="AG77" s="2">
        <f t="shared" si="69"/>
        <v>5557.5159310250674</v>
      </c>
      <c r="AH77" s="2">
        <f t="shared" si="69"/>
        <v>5392.2901737625243</v>
      </c>
      <c r="AI77" s="2">
        <f t="shared" si="69"/>
        <v>5227.0644164999812</v>
      </c>
      <c r="AJ77" s="2">
        <f t="shared" si="69"/>
        <v>5061.8386592374391</v>
      </c>
      <c r="AK77" s="2">
        <f t="shared" si="69"/>
        <v>4896.612901974896</v>
      </c>
      <c r="AL77" s="2">
        <f t="shared" ref="AL77:AT79" si="70">$AA77+($AU77-$AA77)/($AU$76-$AA$76)*(AL$76-$AA$76)</f>
        <v>4731.3871447123529</v>
      </c>
      <c r="AM77" s="2">
        <f t="shared" si="70"/>
        <v>4566.1613874498107</v>
      </c>
      <c r="AN77" s="2">
        <f t="shared" si="70"/>
        <v>4400.9356301872685</v>
      </c>
      <c r="AO77" s="2">
        <f t="shared" si="70"/>
        <v>4235.7098729247246</v>
      </c>
      <c r="AP77" s="2">
        <f t="shared" si="70"/>
        <v>4070.4841156621824</v>
      </c>
      <c r="AQ77" s="2">
        <f t="shared" si="70"/>
        <v>3905.2583583996397</v>
      </c>
      <c r="AR77" s="2">
        <f t="shared" si="70"/>
        <v>3740.0326011370971</v>
      </c>
      <c r="AS77" s="2">
        <f t="shared" si="70"/>
        <v>3574.8068438745545</v>
      </c>
      <c r="AT77" s="2">
        <f>$AA77+($AU77-$AA77)/($AU$76-$AA$76)*(AT$76-$AA$76)</f>
        <v>3409.5810866120114</v>
      </c>
      <c r="AU77" s="2">
        <f>V$3*(1-Residential!B8)</f>
        <v>3244.3553293494688</v>
      </c>
      <c r="AV77" s="24" t="s">
        <v>109</v>
      </c>
    </row>
    <row r="78" spans="1:48" x14ac:dyDescent="0.3">
      <c r="A78" s="277"/>
      <c r="B78" s="278"/>
      <c r="C78" s="278"/>
      <c r="D78" s="278"/>
      <c r="E78" s="278"/>
      <c r="F78" s="278"/>
      <c r="G78" s="279" t="s">
        <v>61</v>
      </c>
      <c r="H78" s="278"/>
      <c r="I78" s="278"/>
      <c r="J78" s="278"/>
      <c r="K78" s="278"/>
      <c r="L78" s="280"/>
      <c r="M78" s="278"/>
      <c r="N78" s="278"/>
      <c r="O78" s="278"/>
      <c r="P78" s="278"/>
      <c r="Q78" s="278"/>
      <c r="R78" s="278"/>
      <c r="S78" s="278"/>
      <c r="T78" s="278"/>
      <c r="U78" s="278"/>
      <c r="V78" s="278"/>
      <c r="Y78" s="538"/>
      <c r="Z78" s="3" t="s">
        <v>1</v>
      </c>
      <c r="AA78" s="2">
        <f>$B$5</f>
        <v>9497.1742721705814</v>
      </c>
      <c r="AB78" s="2">
        <f t="shared" si="69"/>
        <v>9306.6426493615436</v>
      </c>
      <c r="AC78" s="2">
        <f t="shared" si="69"/>
        <v>9116.1110265525058</v>
      </c>
      <c r="AD78" s="2">
        <f t="shared" si="69"/>
        <v>8925.579403743468</v>
      </c>
      <c r="AE78" s="2">
        <f t="shared" si="69"/>
        <v>8735.0477809344302</v>
      </c>
      <c r="AF78" s="2">
        <f t="shared" si="69"/>
        <v>8544.5161581253924</v>
      </c>
      <c r="AG78" s="2">
        <f t="shared" si="69"/>
        <v>8353.9845353163546</v>
      </c>
      <c r="AH78" s="2">
        <f t="shared" si="69"/>
        <v>8163.4529125073177</v>
      </c>
      <c r="AI78" s="2">
        <f t="shared" si="69"/>
        <v>7972.9212896982799</v>
      </c>
      <c r="AJ78" s="2">
        <f t="shared" si="69"/>
        <v>7782.3896668892421</v>
      </c>
      <c r="AK78" s="2">
        <f t="shared" si="69"/>
        <v>7591.8580440802043</v>
      </c>
      <c r="AL78" s="2">
        <f t="shared" si="70"/>
        <v>7401.3264212711665</v>
      </c>
      <c r="AM78" s="2">
        <f t="shared" si="70"/>
        <v>7210.7947984621287</v>
      </c>
      <c r="AN78" s="2">
        <f t="shared" si="70"/>
        <v>7020.2631756530909</v>
      </c>
      <c r="AO78" s="2">
        <f t="shared" si="70"/>
        <v>6829.731552844054</v>
      </c>
      <c r="AP78" s="2">
        <f t="shared" si="70"/>
        <v>6639.1999300350162</v>
      </c>
      <c r="AQ78" s="2">
        <f t="shared" si="70"/>
        <v>6448.6683072259784</v>
      </c>
      <c r="AR78" s="2">
        <f t="shared" si="70"/>
        <v>6258.1366844169406</v>
      </c>
      <c r="AS78" s="2">
        <f t="shared" si="70"/>
        <v>6067.6050616079028</v>
      </c>
      <c r="AT78" s="2">
        <f t="shared" si="70"/>
        <v>5877.073438798865</v>
      </c>
      <c r="AU78" s="2">
        <f>$V$5*(1-Commercial!B8)</f>
        <v>5686.5418159898272</v>
      </c>
      <c r="AV78" s="24" t="s">
        <v>117</v>
      </c>
    </row>
    <row r="79" spans="1:48" x14ac:dyDescent="0.3">
      <c r="A79" s="277"/>
      <c r="B79" s="278"/>
      <c r="C79" s="278"/>
      <c r="D79" s="278"/>
      <c r="E79" s="278"/>
      <c r="F79" s="278"/>
      <c r="G79" s="278"/>
      <c r="H79" s="278"/>
      <c r="I79" s="278"/>
      <c r="J79" s="278"/>
      <c r="K79" s="278"/>
      <c r="L79" s="280"/>
      <c r="M79" s="278"/>
      <c r="N79" s="278"/>
      <c r="O79" s="278"/>
      <c r="P79" s="278"/>
      <c r="Q79" s="278"/>
      <c r="R79" s="278"/>
      <c r="S79" s="278"/>
      <c r="T79" s="278"/>
      <c r="U79" s="278"/>
      <c r="V79" s="278"/>
      <c r="Y79" s="538"/>
      <c r="Z79" s="3" t="s">
        <v>2</v>
      </c>
      <c r="AA79" s="2">
        <f>$B$7</f>
        <v>1853.2210095348682</v>
      </c>
      <c r="AB79" s="2">
        <f t="shared" si="69"/>
        <v>1860.4094880534537</v>
      </c>
      <c r="AC79" s="2">
        <f t="shared" si="69"/>
        <v>1867.597966572039</v>
      </c>
      <c r="AD79" s="2">
        <f t="shared" si="69"/>
        <v>1874.7864450906245</v>
      </c>
      <c r="AE79" s="2">
        <f t="shared" si="69"/>
        <v>1881.9749236092098</v>
      </c>
      <c r="AF79" s="2">
        <f t="shared" si="69"/>
        <v>1889.1634021277953</v>
      </c>
      <c r="AG79" s="2">
        <f t="shared" si="69"/>
        <v>1896.3518806463808</v>
      </c>
      <c r="AH79" s="2">
        <f t="shared" si="69"/>
        <v>1903.540359164966</v>
      </c>
      <c r="AI79" s="2">
        <f t="shared" si="69"/>
        <v>1910.7288376835515</v>
      </c>
      <c r="AJ79" s="2">
        <f t="shared" si="69"/>
        <v>1917.9173162021368</v>
      </c>
      <c r="AK79" s="2">
        <f t="shared" si="69"/>
        <v>1925.1057947207223</v>
      </c>
      <c r="AL79" s="2">
        <f t="shared" si="70"/>
        <v>1932.2942732393078</v>
      </c>
      <c r="AM79" s="2">
        <f t="shared" si="70"/>
        <v>1939.4827517578931</v>
      </c>
      <c r="AN79" s="2">
        <f t="shared" si="70"/>
        <v>1946.6712302764786</v>
      </c>
      <c r="AO79" s="2">
        <f t="shared" si="70"/>
        <v>1953.8597087950639</v>
      </c>
      <c r="AP79" s="2">
        <f t="shared" si="70"/>
        <v>1961.0481873136494</v>
      </c>
      <c r="AQ79" s="2">
        <f t="shared" si="70"/>
        <v>1968.2366658322348</v>
      </c>
      <c r="AR79" s="2">
        <f t="shared" si="70"/>
        <v>1975.4251443508201</v>
      </c>
      <c r="AS79" s="2">
        <f t="shared" si="70"/>
        <v>1982.6136228694056</v>
      </c>
      <c r="AT79" s="2">
        <f t="shared" si="70"/>
        <v>1989.8021013879909</v>
      </c>
      <c r="AU79" s="2">
        <f>$V$7*(1-Industrial!B7)</f>
        <v>1996.9905799065764</v>
      </c>
    </row>
    <row r="80" spans="1:48" x14ac:dyDescent="0.3">
      <c r="A80" s="277"/>
      <c r="B80" s="532" t="s">
        <v>17</v>
      </c>
      <c r="C80" s="532"/>
      <c r="D80" s="532"/>
      <c r="E80" s="532"/>
      <c r="F80" s="532"/>
      <c r="G80" s="532"/>
      <c r="H80" s="532"/>
      <c r="I80" s="532"/>
      <c r="J80" s="532"/>
      <c r="K80" s="532"/>
      <c r="L80" s="532"/>
      <c r="M80" s="532"/>
      <c r="N80" s="532"/>
      <c r="O80" s="532"/>
      <c r="P80" s="532"/>
      <c r="Q80" s="532"/>
      <c r="R80" s="532"/>
      <c r="S80" s="532"/>
      <c r="T80" s="532"/>
      <c r="U80" s="532"/>
      <c r="V80" s="532"/>
      <c r="Y80" s="538"/>
      <c r="Z80" s="3" t="s">
        <v>6</v>
      </c>
      <c r="AA80" s="2">
        <f>$B$9</f>
        <v>377.58416084422981</v>
      </c>
      <c r="AB80" s="2">
        <f>AB39</f>
        <v>280.61750017103373</v>
      </c>
      <c r="AC80" s="2">
        <f t="shared" ref="AC80:AT80" si="71">AC39</f>
        <v>232.76491862567812</v>
      </c>
      <c r="AD80" s="2">
        <f t="shared" si="71"/>
        <v>183.66062836116615</v>
      </c>
      <c r="AE80" s="2">
        <f t="shared" si="71"/>
        <v>134.50173010380621</v>
      </c>
      <c r="AF80" s="2">
        <f t="shared" si="71"/>
        <v>134.5758732022307</v>
      </c>
      <c r="AG80" s="2">
        <f t="shared" si="71"/>
        <v>135.8265748915158</v>
      </c>
      <c r="AH80" s="2">
        <f t="shared" si="71"/>
        <v>134.72936131107369</v>
      </c>
      <c r="AI80" s="2">
        <f t="shared" si="71"/>
        <v>132.44262810436967</v>
      </c>
      <c r="AJ80" s="2">
        <f t="shared" si="71"/>
        <v>128.9614197530864</v>
      </c>
      <c r="AK80" s="2">
        <f t="shared" si="71"/>
        <v>126.68315586484448</v>
      </c>
      <c r="AL80" s="2">
        <f t="shared" si="71"/>
        <v>124.40931118033922</v>
      </c>
      <c r="AM80" s="2">
        <f t="shared" si="71"/>
        <v>122.11498257839722</v>
      </c>
      <c r="AN80" s="2">
        <f t="shared" si="71"/>
        <v>119.82672079719505</v>
      </c>
      <c r="AO80" s="2">
        <f t="shared" si="71"/>
        <v>118.72250809986659</v>
      </c>
      <c r="AP80" s="2">
        <f t="shared" si="71"/>
        <v>116.39811912225706</v>
      </c>
      <c r="AQ80" s="2">
        <f t="shared" si="71"/>
        <v>115.2662841034934</v>
      </c>
      <c r="AR80" s="2">
        <f t="shared" si="71"/>
        <v>114.15188825659597</v>
      </c>
      <c r="AS80" s="2">
        <f t="shared" si="71"/>
        <v>113.00201998724219</v>
      </c>
      <c r="AT80" s="2">
        <f t="shared" si="71"/>
        <v>112.3853250287667</v>
      </c>
      <c r="AU80" s="2">
        <f>AU39</f>
        <v>111.91083788874447</v>
      </c>
    </row>
    <row r="81" spans="1:48" x14ac:dyDescent="0.3">
      <c r="A81" s="281"/>
      <c r="B81" s="283"/>
      <c r="C81" s="283"/>
      <c r="D81" s="283"/>
      <c r="E81" s="283"/>
      <c r="F81" s="283"/>
      <c r="G81" s="283"/>
      <c r="H81" s="283"/>
      <c r="I81" s="283"/>
      <c r="J81" s="283"/>
      <c r="K81" s="283"/>
      <c r="L81" s="284"/>
      <c r="M81" s="283"/>
      <c r="N81" s="283"/>
      <c r="O81" s="283"/>
      <c r="P81" s="283"/>
      <c r="Q81" s="283"/>
      <c r="R81" s="283"/>
      <c r="S81" s="283"/>
      <c r="T81" s="283"/>
      <c r="U81" s="283">
        <v>2039</v>
      </c>
      <c r="V81" s="283">
        <v>2040</v>
      </c>
      <c r="Y81" s="538"/>
      <c r="Z81" s="3" t="s">
        <v>8</v>
      </c>
      <c r="AA81" s="2">
        <f>$B$11</f>
        <v>74.150082849993936</v>
      </c>
      <c r="AB81" s="2">
        <f>$AA81+($AU81-$AA81)/($AU$76-$AA$76)*(AB$76-$AA$76)</f>
        <v>73.994863461540348</v>
      </c>
      <c r="AC81" s="2">
        <f t="shared" ref="AC81:AL81" si="72">$AA81+($AU81-$AA81)/($AU$76-$AA$76)*(AC$76-$AA$76)</f>
        <v>73.839644073086745</v>
      </c>
      <c r="AD81" s="2">
        <f t="shared" si="72"/>
        <v>73.684424684633157</v>
      </c>
      <c r="AE81" s="2">
        <f t="shared" si="72"/>
        <v>73.529205296179569</v>
      </c>
      <c r="AF81" s="2">
        <f t="shared" si="72"/>
        <v>73.373985907725967</v>
      </c>
      <c r="AG81" s="2">
        <f t="shared" si="72"/>
        <v>73.218766519272378</v>
      </c>
      <c r="AH81" s="2">
        <f t="shared" si="72"/>
        <v>73.06354713081879</v>
      </c>
      <c r="AI81" s="2">
        <f t="shared" si="72"/>
        <v>72.908327742365188</v>
      </c>
      <c r="AJ81" s="2">
        <f t="shared" si="72"/>
        <v>72.7531083539116</v>
      </c>
      <c r="AK81" s="2">
        <f t="shared" si="72"/>
        <v>72.597888965457997</v>
      </c>
      <c r="AL81" s="2">
        <f t="shared" si="72"/>
        <v>72.442669577004409</v>
      </c>
      <c r="AM81" s="2">
        <f t="shared" ref="AM81:AT81" si="73">$AA81+($AU81-$AA81)/($AU$76-$AA$76)*(AM$76-$AA$76)</f>
        <v>72.287450188550821</v>
      </c>
      <c r="AN81" s="2">
        <f t="shared" si="73"/>
        <v>72.132230800097219</v>
      </c>
      <c r="AO81" s="2">
        <f t="shared" si="73"/>
        <v>71.97701141164363</v>
      </c>
      <c r="AP81" s="2">
        <f t="shared" si="73"/>
        <v>71.821792023190042</v>
      </c>
      <c r="AQ81" s="2">
        <f t="shared" si="73"/>
        <v>71.66657263473644</v>
      </c>
      <c r="AR81" s="2">
        <f t="shared" si="73"/>
        <v>71.511353246282852</v>
      </c>
      <c r="AS81" s="2">
        <f t="shared" si="73"/>
        <v>71.356133857829263</v>
      </c>
      <c r="AT81" s="2">
        <f t="shared" si="73"/>
        <v>71.200914469375661</v>
      </c>
      <c r="AU81" s="2">
        <f>$V$11</f>
        <v>71.045695080922073</v>
      </c>
    </row>
    <row r="82" spans="1:48" ht="15" thickBot="1" x14ac:dyDescent="0.35">
      <c r="A82" s="277"/>
      <c r="B82" s="285"/>
      <c r="C82" s="285"/>
      <c r="D82" s="285"/>
      <c r="E82" s="285" t="s">
        <v>1059</v>
      </c>
      <c r="F82" s="285"/>
      <c r="G82" s="285"/>
      <c r="H82" s="285"/>
      <c r="I82" s="285"/>
      <c r="J82" s="285">
        <v>1</v>
      </c>
      <c r="K82" s="285">
        <v>2</v>
      </c>
      <c r="L82" s="285">
        <v>3</v>
      </c>
      <c r="M82" s="285">
        <v>4</v>
      </c>
      <c r="N82" s="285">
        <v>5</v>
      </c>
      <c r="O82" s="285">
        <v>6</v>
      </c>
      <c r="P82" s="285">
        <v>7</v>
      </c>
      <c r="Q82" s="285">
        <v>8</v>
      </c>
      <c r="R82" s="285">
        <v>9</v>
      </c>
      <c r="S82" s="285">
        <v>10</v>
      </c>
      <c r="T82" s="285">
        <v>11</v>
      </c>
      <c r="U82" s="285">
        <v>12</v>
      </c>
      <c r="V82" s="285">
        <v>13</v>
      </c>
      <c r="Y82" s="539"/>
      <c r="Z82" s="292" t="s">
        <v>16</v>
      </c>
      <c r="AA82" s="8">
        <f>SUM(AA77:AA81)</f>
        <v>18351</v>
      </c>
      <c r="AB82" s="8">
        <f t="shared" ref="AB82:AU82" si="74">SUM(AB77:AB81)</f>
        <v>17905.309218385348</v>
      </c>
      <c r="AC82" s="8">
        <f t="shared" si="74"/>
        <v>17508.732515898548</v>
      </c>
      <c r="AD82" s="8">
        <f t="shared" si="74"/>
        <v>17110.904104692585</v>
      </c>
      <c r="AE82" s="8">
        <f t="shared" si="74"/>
        <v>16713.02108549378</v>
      </c>
      <c r="AF82" s="8">
        <f t="shared" si="74"/>
        <v>16364.371107650755</v>
      </c>
      <c r="AG82" s="8">
        <f t="shared" si="74"/>
        <v>16016.897688398591</v>
      </c>
      <c r="AH82" s="8">
        <f t="shared" si="74"/>
        <v>15667.076353876702</v>
      </c>
      <c r="AI82" s="8">
        <f t="shared" si="74"/>
        <v>15316.065499728547</v>
      </c>
      <c r="AJ82" s="8">
        <f t="shared" si="74"/>
        <v>14963.860170435817</v>
      </c>
      <c r="AK82" s="8">
        <f t="shared" si="74"/>
        <v>14612.857785606126</v>
      </c>
      <c r="AL82" s="8">
        <f t="shared" si="74"/>
        <v>14261.859819980171</v>
      </c>
      <c r="AM82" s="8">
        <f t="shared" si="74"/>
        <v>13910.841370436779</v>
      </c>
      <c r="AN82" s="8">
        <f t="shared" si="74"/>
        <v>13559.828987714131</v>
      </c>
      <c r="AO82" s="8">
        <f t="shared" si="74"/>
        <v>13210.000654075353</v>
      </c>
      <c r="AP82" s="8">
        <f t="shared" si="74"/>
        <v>12858.952144156296</v>
      </c>
      <c r="AQ82" s="8">
        <f t="shared" si="74"/>
        <v>12509.096188196083</v>
      </c>
      <c r="AR82" s="8">
        <f t="shared" si="74"/>
        <v>12159.257671407737</v>
      </c>
      <c r="AS82" s="8">
        <f t="shared" si="74"/>
        <v>11809.383682196933</v>
      </c>
      <c r="AT82" s="8">
        <f t="shared" si="74"/>
        <v>11460.04286629701</v>
      </c>
      <c r="AU82" s="8">
        <f t="shared" si="74"/>
        <v>11110.844258215539</v>
      </c>
      <c r="AV82" s="24"/>
    </row>
    <row r="83" spans="1:48" x14ac:dyDescent="0.3">
      <c r="A83" s="277"/>
      <c r="B83" s="286"/>
      <c r="C83" s="286"/>
      <c r="D83" s="286"/>
      <c r="E83" s="286"/>
      <c r="F83" s="286"/>
      <c r="G83" s="286"/>
      <c r="H83" s="286"/>
      <c r="I83" s="286"/>
      <c r="J83" s="286">
        <v>5353.2657847514802</v>
      </c>
      <c r="K83" s="286">
        <v>5284.2223348832167</v>
      </c>
      <c r="L83" s="286">
        <v>5223.048719333784</v>
      </c>
      <c r="M83" s="286">
        <v>5167.5012776252242</v>
      </c>
      <c r="N83" s="286">
        <v>5114.7631789781017</v>
      </c>
      <c r="O83" s="286">
        <v>5065.4196584142637</v>
      </c>
      <c r="P83" s="286">
        <v>5019.6522684211077</v>
      </c>
      <c r="Q83" s="286">
        <v>4977.6898049712545</v>
      </c>
      <c r="R83" s="286">
        <v>4939.7070636960007</v>
      </c>
      <c r="S83" s="286">
        <v>4904.9919747693884</v>
      </c>
      <c r="T83" s="286">
        <v>4872.9795130710691</v>
      </c>
      <c r="U83" s="287">
        <f>1.9011*U82^2-70.478*U82+5419.3</f>
        <v>4847.3224</v>
      </c>
      <c r="V83" s="287">
        <f>1.9011*V82^2-70.478*V82+5419.3</f>
        <v>4824.3719000000001</v>
      </c>
    </row>
    <row r="84" spans="1:48" x14ac:dyDescent="0.3">
      <c r="A84" s="277"/>
      <c r="B84" s="278"/>
      <c r="C84" s="278"/>
      <c r="D84" s="278"/>
      <c r="E84" s="278"/>
      <c r="F84" s="278"/>
      <c r="G84" s="278"/>
      <c r="H84" s="278"/>
      <c r="I84" s="278"/>
      <c r="J84" s="278"/>
      <c r="K84" s="278"/>
      <c r="L84" s="280"/>
      <c r="M84" s="278"/>
      <c r="N84" s="278"/>
      <c r="O84" s="278"/>
      <c r="P84" s="278"/>
      <c r="Q84" s="278"/>
      <c r="R84" s="278"/>
      <c r="S84" s="278"/>
      <c r="T84" s="278"/>
      <c r="U84" s="278"/>
      <c r="V84" s="278"/>
    </row>
    <row r="85" spans="1:48" ht="18.600000000000001" thickBot="1" x14ac:dyDescent="0.35">
      <c r="A85" s="277"/>
      <c r="B85" s="278"/>
      <c r="C85" s="278"/>
      <c r="D85" s="278"/>
      <c r="E85" s="278"/>
      <c r="F85" s="278"/>
      <c r="G85" s="278"/>
      <c r="H85" s="278"/>
      <c r="I85" s="278"/>
      <c r="J85" s="278"/>
      <c r="K85" s="278"/>
      <c r="L85" s="280"/>
      <c r="M85" s="278"/>
      <c r="N85" s="278"/>
      <c r="O85" s="278"/>
      <c r="P85" s="278"/>
      <c r="Q85" s="278"/>
      <c r="R85" s="278"/>
      <c r="S85" s="278"/>
      <c r="T85" s="278"/>
      <c r="U85" s="278"/>
      <c r="V85" s="278"/>
      <c r="Z85" s="540" t="s">
        <v>969</v>
      </c>
      <c r="AA85" s="540"/>
      <c r="AB85" s="540"/>
      <c r="AC85" s="540"/>
      <c r="AD85" s="540"/>
      <c r="AE85" s="540"/>
      <c r="AF85" s="540"/>
      <c r="AG85" s="540"/>
      <c r="AH85" s="540"/>
      <c r="AI85" s="540"/>
      <c r="AJ85" s="540"/>
      <c r="AK85" s="540"/>
      <c r="AL85" s="540"/>
      <c r="AM85" s="540"/>
      <c r="AN85" s="540"/>
      <c r="AO85" s="540"/>
      <c r="AP85" s="540"/>
      <c r="AQ85" s="540"/>
      <c r="AR85" s="540"/>
      <c r="AS85" s="540"/>
      <c r="AT85" s="540"/>
      <c r="AU85" s="540"/>
      <c r="AV85" s="24"/>
    </row>
    <row r="86" spans="1:48" x14ac:dyDescent="0.3">
      <c r="A86" s="277"/>
      <c r="B86" s="278"/>
      <c r="C86" s="278"/>
      <c r="D86" s="278"/>
      <c r="E86" s="278"/>
      <c r="F86" s="278"/>
      <c r="G86" s="278"/>
      <c r="H86" s="278"/>
      <c r="I86" s="278"/>
      <c r="J86" s="278"/>
      <c r="K86" s="278"/>
      <c r="L86" s="280"/>
      <c r="M86" s="278"/>
      <c r="N86" s="278"/>
      <c r="O86" s="278"/>
      <c r="P86" s="278"/>
      <c r="Q86" s="278"/>
      <c r="R86" s="278"/>
      <c r="S86" s="278"/>
      <c r="T86" s="278"/>
      <c r="U86" s="278"/>
      <c r="V86" s="278"/>
      <c r="Y86" s="534">
        <v>0.01</v>
      </c>
      <c r="Z86" s="7"/>
      <c r="AA86" s="7">
        <v>2020</v>
      </c>
      <c r="AB86" s="7">
        <v>2021</v>
      </c>
      <c r="AC86" s="7">
        <v>2022</v>
      </c>
      <c r="AD86" s="7">
        <v>2023</v>
      </c>
      <c r="AE86" s="7">
        <v>2024</v>
      </c>
      <c r="AF86" s="7">
        <v>2025</v>
      </c>
      <c r="AG86" s="7">
        <v>2026</v>
      </c>
      <c r="AH86" s="7">
        <v>2027</v>
      </c>
      <c r="AI86" s="7">
        <v>2028</v>
      </c>
      <c r="AJ86" s="7">
        <v>2029</v>
      </c>
      <c r="AK86" s="7">
        <v>2030</v>
      </c>
      <c r="AL86" s="7">
        <v>2031</v>
      </c>
      <c r="AM86" s="7">
        <v>2032</v>
      </c>
      <c r="AN86" s="7">
        <v>2033</v>
      </c>
      <c r="AO86" s="7">
        <v>2034</v>
      </c>
      <c r="AP86" s="7">
        <v>2035</v>
      </c>
      <c r="AQ86" s="7">
        <v>2036</v>
      </c>
      <c r="AR86" s="7">
        <v>2037</v>
      </c>
      <c r="AS86" s="7">
        <v>2038</v>
      </c>
      <c r="AT86" s="7">
        <v>2039</v>
      </c>
      <c r="AU86" s="7">
        <v>2040</v>
      </c>
      <c r="AV86" s="22" t="s">
        <v>86</v>
      </c>
    </row>
    <row r="87" spans="1:48" x14ac:dyDescent="0.3">
      <c r="A87" s="277"/>
      <c r="B87" s="278"/>
      <c r="C87" s="278"/>
      <c r="D87" s="278"/>
      <c r="E87" s="278"/>
      <c r="F87" s="278"/>
      <c r="G87" s="278"/>
      <c r="H87" s="278"/>
      <c r="I87" s="278"/>
      <c r="J87" s="278"/>
      <c r="K87" s="278"/>
      <c r="L87" s="280"/>
      <c r="M87" s="278"/>
      <c r="N87" s="278"/>
      <c r="O87" s="278"/>
      <c r="P87" s="278"/>
      <c r="Q87" s="278"/>
      <c r="R87" s="278"/>
      <c r="S87" s="278"/>
      <c r="T87" s="278"/>
      <c r="U87" s="278"/>
      <c r="V87" s="278"/>
      <c r="Y87" s="535"/>
      <c r="Z87" s="3" t="s">
        <v>0</v>
      </c>
      <c r="AA87" s="2">
        <f>B3</f>
        <v>6548.8704746003232</v>
      </c>
      <c r="AB87" s="2">
        <f>AA87*0.99</f>
        <v>6483.3817698543198</v>
      </c>
      <c r="AC87" s="2">
        <f t="shared" ref="AC87:AU91" si="75">AB87*0.99</f>
        <v>6418.5479521557763</v>
      </c>
      <c r="AD87" s="2">
        <f t="shared" si="75"/>
        <v>6354.3624726342186</v>
      </c>
      <c r="AE87" s="2">
        <f t="shared" si="75"/>
        <v>6290.8188479078763</v>
      </c>
      <c r="AF87" s="2">
        <f t="shared" si="75"/>
        <v>6227.9106594287978</v>
      </c>
      <c r="AG87" s="2">
        <f t="shared" si="75"/>
        <v>6165.6315528345094</v>
      </c>
      <c r="AH87" s="2">
        <f t="shared" si="75"/>
        <v>6103.9752373061647</v>
      </c>
      <c r="AI87" s="2">
        <f t="shared" si="75"/>
        <v>6042.935484933103</v>
      </c>
      <c r="AJ87" s="2">
        <f t="shared" si="75"/>
        <v>5982.5061300837715</v>
      </c>
      <c r="AK87" s="2">
        <f t="shared" si="75"/>
        <v>5922.6810687829338</v>
      </c>
      <c r="AL87" s="2">
        <f t="shared" si="75"/>
        <v>5863.4542580951047</v>
      </c>
      <c r="AM87" s="2">
        <f t="shared" si="75"/>
        <v>5804.8197155141534</v>
      </c>
      <c r="AN87" s="2">
        <f t="shared" si="75"/>
        <v>5746.7715183590117</v>
      </c>
      <c r="AO87" s="2">
        <f t="shared" si="75"/>
        <v>5689.3038031754213</v>
      </c>
      <c r="AP87" s="2">
        <f t="shared" si="75"/>
        <v>5632.410765143667</v>
      </c>
      <c r="AQ87" s="2">
        <f t="shared" si="75"/>
        <v>5576.0866574922302</v>
      </c>
      <c r="AR87" s="2">
        <f t="shared" si="75"/>
        <v>5520.325790917308</v>
      </c>
      <c r="AS87" s="2">
        <f t="shared" si="75"/>
        <v>5465.1225330081352</v>
      </c>
      <c r="AT87" s="2">
        <f t="shared" si="75"/>
        <v>5410.4713076780536</v>
      </c>
      <c r="AU87" s="2">
        <f t="shared" si="75"/>
        <v>5356.3665946012734</v>
      </c>
      <c r="AV87" s="293" t="s">
        <v>100</v>
      </c>
    </row>
    <row r="88" spans="1:48" x14ac:dyDescent="0.3">
      <c r="A88" s="277"/>
      <c r="B88" s="278"/>
      <c r="C88" s="278"/>
      <c r="D88" s="278"/>
      <c r="E88" s="278"/>
      <c r="F88" s="278"/>
      <c r="G88" s="278"/>
      <c r="H88" s="278"/>
      <c r="I88" s="278"/>
      <c r="J88" s="278"/>
      <c r="K88" s="278"/>
      <c r="L88" s="280"/>
      <c r="M88" s="278"/>
      <c r="N88" s="278"/>
      <c r="O88" s="278"/>
      <c r="P88" s="278"/>
      <c r="Q88" s="278"/>
      <c r="R88" s="278"/>
      <c r="S88" s="278"/>
      <c r="T88" s="278"/>
      <c r="U88" s="278"/>
      <c r="V88" s="278"/>
      <c r="Y88" s="535"/>
      <c r="Z88" s="3" t="s">
        <v>1</v>
      </c>
      <c r="AA88" s="2">
        <f>B5</f>
        <v>9497.1742721705814</v>
      </c>
      <c r="AB88" s="2">
        <f>AA88*0.99</f>
        <v>9402.2025294488758</v>
      </c>
      <c r="AC88" s="2">
        <f t="shared" ref="AC88:AQ88" si="76">AB88*0.99</f>
        <v>9308.1805041543867</v>
      </c>
      <c r="AD88" s="2">
        <f t="shared" si="76"/>
        <v>9215.098699112843</v>
      </c>
      <c r="AE88" s="2">
        <f t="shared" si="76"/>
        <v>9122.9477121217151</v>
      </c>
      <c r="AF88" s="2">
        <f t="shared" si="76"/>
        <v>9031.7182350004987</v>
      </c>
      <c r="AG88" s="2">
        <f t="shared" si="76"/>
        <v>8941.4010526504935</v>
      </c>
      <c r="AH88" s="2">
        <f t="shared" si="76"/>
        <v>8851.9870421239884</v>
      </c>
      <c r="AI88" s="2">
        <f t="shared" si="76"/>
        <v>8763.4671717027486</v>
      </c>
      <c r="AJ88" s="2">
        <f t="shared" si="76"/>
        <v>8675.8324999857214</v>
      </c>
      <c r="AK88" s="2">
        <f t="shared" si="76"/>
        <v>8589.0741749858644</v>
      </c>
      <c r="AL88" s="2">
        <f t="shared" si="76"/>
        <v>8503.1834332360049</v>
      </c>
      <c r="AM88" s="2">
        <f t="shared" si="76"/>
        <v>8418.1515989036452</v>
      </c>
      <c r="AN88" s="2">
        <f t="shared" si="76"/>
        <v>8333.9700829146095</v>
      </c>
      <c r="AO88" s="2">
        <f t="shared" si="76"/>
        <v>8250.6303820854628</v>
      </c>
      <c r="AP88" s="2">
        <f t="shared" si="76"/>
        <v>8168.1240782646082</v>
      </c>
      <c r="AQ88" s="2">
        <f t="shared" si="76"/>
        <v>8086.4428374819618</v>
      </c>
      <c r="AR88" s="2">
        <f t="shared" si="75"/>
        <v>8005.5784091071419</v>
      </c>
      <c r="AS88" s="2">
        <f t="shared" si="75"/>
        <v>7925.5226250160704</v>
      </c>
      <c r="AT88" s="2">
        <f t="shared" si="75"/>
        <v>7846.26739876591</v>
      </c>
      <c r="AU88" s="2">
        <f t="shared" si="75"/>
        <v>7767.8047247782506</v>
      </c>
    </row>
    <row r="89" spans="1:48" x14ac:dyDescent="0.3">
      <c r="A89" s="277"/>
      <c r="B89" s="278"/>
      <c r="C89" s="278"/>
      <c r="D89" s="278"/>
      <c r="E89" s="278"/>
      <c r="F89" s="278"/>
      <c r="G89" s="278"/>
      <c r="H89" s="278"/>
      <c r="I89" s="278"/>
      <c r="J89" s="278"/>
      <c r="K89" s="278"/>
      <c r="L89" s="280"/>
      <c r="M89" s="278"/>
      <c r="N89" s="278"/>
      <c r="O89" s="278"/>
      <c r="P89" s="278"/>
      <c r="Q89" s="278"/>
      <c r="R89" s="278"/>
      <c r="S89" s="278"/>
      <c r="T89" s="278"/>
      <c r="U89" s="278"/>
      <c r="V89" s="278"/>
      <c r="Y89" s="535"/>
      <c r="Z89" s="3" t="s">
        <v>2</v>
      </c>
      <c r="AA89" s="2">
        <f>B7</f>
        <v>1853.2210095348682</v>
      </c>
      <c r="AB89" s="2">
        <f>AA89*0.99</f>
        <v>1834.6887994395195</v>
      </c>
      <c r="AC89" s="2">
        <f t="shared" si="75"/>
        <v>1816.3419114451242</v>
      </c>
      <c r="AD89" s="2">
        <f t="shared" si="75"/>
        <v>1798.178492330673</v>
      </c>
      <c r="AE89" s="2">
        <f t="shared" si="75"/>
        <v>1780.1967074073661</v>
      </c>
      <c r="AF89" s="2">
        <f t="shared" si="75"/>
        <v>1762.3947403332925</v>
      </c>
      <c r="AG89" s="2">
        <f t="shared" si="75"/>
        <v>1744.7707929299595</v>
      </c>
      <c r="AH89" s="2">
        <f t="shared" si="75"/>
        <v>1727.3230850006598</v>
      </c>
      <c r="AI89" s="2">
        <f t="shared" si="75"/>
        <v>1710.0498541506531</v>
      </c>
      <c r="AJ89" s="2">
        <f t="shared" si="75"/>
        <v>1692.9493556091466</v>
      </c>
      <c r="AK89" s="2">
        <f t="shared" si="75"/>
        <v>1676.019862053055</v>
      </c>
      <c r="AL89" s="2">
        <f t="shared" si="75"/>
        <v>1659.2596634325243</v>
      </c>
      <c r="AM89" s="2">
        <f t="shared" si="75"/>
        <v>1642.6670667981991</v>
      </c>
      <c r="AN89" s="2">
        <f t="shared" si="75"/>
        <v>1626.2403961302171</v>
      </c>
      <c r="AO89" s="2">
        <f t="shared" si="75"/>
        <v>1609.9779921689149</v>
      </c>
      <c r="AP89" s="2">
        <f t="shared" si="75"/>
        <v>1593.8782122472257</v>
      </c>
      <c r="AQ89" s="2">
        <f t="shared" si="75"/>
        <v>1577.9394301247535</v>
      </c>
      <c r="AR89" s="2">
        <f t="shared" si="75"/>
        <v>1562.160035823506</v>
      </c>
      <c r="AS89" s="2">
        <f t="shared" si="75"/>
        <v>1546.5384354652708</v>
      </c>
      <c r="AT89" s="2">
        <f t="shared" si="75"/>
        <v>1531.0730511106181</v>
      </c>
      <c r="AU89" s="2">
        <f t="shared" si="75"/>
        <v>1515.7623205995119</v>
      </c>
    </row>
    <row r="90" spans="1:48" x14ac:dyDescent="0.3">
      <c r="A90" s="277"/>
      <c r="B90" s="278"/>
      <c r="C90" s="278"/>
      <c r="D90" s="278"/>
      <c r="E90" s="278"/>
      <c r="F90" s="278"/>
      <c r="G90" s="278"/>
      <c r="H90" s="278"/>
      <c r="I90" s="278"/>
      <c r="J90" s="278"/>
      <c r="K90" s="278"/>
      <c r="L90" s="280"/>
      <c r="M90" s="278"/>
      <c r="N90" s="278"/>
      <c r="O90" s="278"/>
      <c r="P90" s="278"/>
      <c r="Q90" s="278"/>
      <c r="R90" s="278"/>
      <c r="S90" s="278"/>
      <c r="T90" s="278"/>
      <c r="U90" s="278"/>
      <c r="V90" s="278"/>
      <c r="Y90" s="535"/>
      <c r="Z90" s="3" t="s">
        <v>6</v>
      </c>
      <c r="AA90" s="2">
        <f>B9</f>
        <v>377.58416084422981</v>
      </c>
      <c r="AB90" s="2">
        <f>AA90*0.99</f>
        <v>373.80831923578751</v>
      </c>
      <c r="AC90" s="2">
        <f t="shared" si="75"/>
        <v>370.07023604342965</v>
      </c>
      <c r="AD90" s="2">
        <f t="shared" si="75"/>
        <v>366.36953368299532</v>
      </c>
      <c r="AE90" s="2">
        <f t="shared" si="75"/>
        <v>362.70583834616536</v>
      </c>
      <c r="AF90" s="2">
        <f t="shared" si="75"/>
        <v>359.07877996270372</v>
      </c>
      <c r="AG90" s="2">
        <f t="shared" si="75"/>
        <v>355.48799216307668</v>
      </c>
      <c r="AH90" s="2">
        <f t="shared" si="75"/>
        <v>351.93311224144594</v>
      </c>
      <c r="AI90" s="2">
        <f t="shared" si="75"/>
        <v>348.41378111903146</v>
      </c>
      <c r="AJ90" s="2">
        <f t="shared" si="75"/>
        <v>344.92964330784116</v>
      </c>
      <c r="AK90" s="2">
        <f t="shared" si="75"/>
        <v>341.48034687476274</v>
      </c>
      <c r="AL90" s="2">
        <f t="shared" si="75"/>
        <v>338.06554340601514</v>
      </c>
      <c r="AM90" s="2">
        <f t="shared" si="75"/>
        <v>334.68488797195499</v>
      </c>
      <c r="AN90" s="2">
        <f t="shared" si="75"/>
        <v>331.33803909223542</v>
      </c>
      <c r="AO90" s="2">
        <f t="shared" si="75"/>
        <v>328.02465870131306</v>
      </c>
      <c r="AP90" s="2">
        <f t="shared" si="75"/>
        <v>324.74441211429991</v>
      </c>
      <c r="AQ90" s="2">
        <f t="shared" si="75"/>
        <v>321.49696799315689</v>
      </c>
      <c r="AR90" s="2">
        <f t="shared" si="75"/>
        <v>318.2819983132253</v>
      </c>
      <c r="AS90" s="2">
        <f t="shared" si="75"/>
        <v>315.09917833009303</v>
      </c>
      <c r="AT90" s="2">
        <f t="shared" si="75"/>
        <v>311.9481865467921</v>
      </c>
      <c r="AU90" s="2">
        <f t="shared" si="75"/>
        <v>308.82870468132415</v>
      </c>
    </row>
    <row r="91" spans="1:48" x14ac:dyDescent="0.3">
      <c r="A91" s="277"/>
      <c r="B91" s="278"/>
      <c r="C91" s="278"/>
      <c r="D91" s="278"/>
      <c r="E91" s="278"/>
      <c r="F91" s="278"/>
      <c r="G91" s="278"/>
      <c r="H91" s="278"/>
      <c r="I91" s="278"/>
      <c r="J91" s="278"/>
      <c r="K91" s="278"/>
      <c r="L91" s="280"/>
      <c r="M91" s="278"/>
      <c r="N91" s="278"/>
      <c r="O91" s="278"/>
      <c r="P91" s="278"/>
      <c r="Q91" s="278"/>
      <c r="R91" s="278"/>
      <c r="S91" s="278"/>
      <c r="T91" s="278"/>
      <c r="U91" s="278"/>
      <c r="V91" s="278"/>
      <c r="Y91" s="535"/>
      <c r="Z91" s="3" t="s">
        <v>8</v>
      </c>
      <c r="AA91" s="2">
        <f>B11</f>
        <v>74.150082849993936</v>
      </c>
      <c r="AB91" s="2">
        <f>AA91*0.99</f>
        <v>73.408582021493999</v>
      </c>
      <c r="AC91" s="2">
        <f t="shared" si="75"/>
        <v>72.674496201279055</v>
      </c>
      <c r="AD91" s="2">
        <f t="shared" si="75"/>
        <v>71.947751239266267</v>
      </c>
      <c r="AE91" s="2">
        <f t="shared" si="75"/>
        <v>71.22827372687361</v>
      </c>
      <c r="AF91" s="2">
        <f t="shared" si="75"/>
        <v>70.515990989604873</v>
      </c>
      <c r="AG91" s="2">
        <f t="shared" si="75"/>
        <v>69.810831079708819</v>
      </c>
      <c r="AH91" s="2">
        <f t="shared" si="75"/>
        <v>69.112722768911738</v>
      </c>
      <c r="AI91" s="2">
        <f t="shared" si="75"/>
        <v>68.421595541222615</v>
      </c>
      <c r="AJ91" s="2">
        <f t="shared" si="75"/>
        <v>67.737379585810388</v>
      </c>
      <c r="AK91" s="2">
        <f t="shared" si="75"/>
        <v>67.060005789952285</v>
      </c>
      <c r="AL91" s="2">
        <f t="shared" si="75"/>
        <v>66.389405732052765</v>
      </c>
      <c r="AM91" s="2">
        <f t="shared" si="75"/>
        <v>65.725511674732232</v>
      </c>
      <c r="AN91" s="2">
        <f t="shared" si="75"/>
        <v>65.06825655798491</v>
      </c>
      <c r="AO91" s="2">
        <f t="shared" si="75"/>
        <v>64.417573992405053</v>
      </c>
      <c r="AP91" s="2">
        <f t="shared" si="75"/>
        <v>63.773398252481002</v>
      </c>
      <c r="AQ91" s="2">
        <f t="shared" si="75"/>
        <v>63.135664269956195</v>
      </c>
      <c r="AR91" s="2">
        <f t="shared" si="75"/>
        <v>62.50430762725663</v>
      </c>
      <c r="AS91" s="2">
        <f t="shared" si="75"/>
        <v>61.879264550984061</v>
      </c>
      <c r="AT91" s="2">
        <f t="shared" si="75"/>
        <v>61.260471905474219</v>
      </c>
      <c r="AU91" s="2">
        <f t="shared" si="75"/>
        <v>60.647867186419475</v>
      </c>
    </row>
    <row r="92" spans="1:48" ht="15" thickBot="1" x14ac:dyDescent="0.35">
      <c r="A92" s="277"/>
      <c r="B92" s="278"/>
      <c r="C92" s="278"/>
      <c r="D92" s="278"/>
      <c r="E92" s="278"/>
      <c r="F92" s="278"/>
      <c r="G92" s="278"/>
      <c r="H92" s="278"/>
      <c r="I92" s="278"/>
      <c r="J92" s="278"/>
      <c r="K92" s="278"/>
      <c r="L92" s="280"/>
      <c r="M92" s="278"/>
      <c r="N92" s="278"/>
      <c r="O92" s="278"/>
      <c r="P92" s="278"/>
      <c r="Q92" s="278"/>
      <c r="R92" s="278"/>
      <c r="S92" s="278"/>
      <c r="T92" s="278"/>
      <c r="U92" s="278"/>
      <c r="V92" s="278"/>
      <c r="Y92" s="536"/>
      <c r="Z92" s="292" t="s">
        <v>16</v>
      </c>
      <c r="AA92" s="8">
        <f t="shared" ref="AA92:AU92" si="77">SUM(AA87:AA91)</f>
        <v>18351</v>
      </c>
      <c r="AB92" s="8">
        <f t="shared" si="77"/>
        <v>18167.489999999994</v>
      </c>
      <c r="AC92" s="8">
        <f t="shared" si="77"/>
        <v>17985.815099999996</v>
      </c>
      <c r="AD92" s="8">
        <f t="shared" si="77"/>
        <v>17805.956948999996</v>
      </c>
      <c r="AE92" s="8">
        <f t="shared" si="77"/>
        <v>17627.897379509996</v>
      </c>
      <c r="AF92" s="8">
        <f t="shared" si="77"/>
        <v>17451.6184057149</v>
      </c>
      <c r="AG92" s="8">
        <f t="shared" si="77"/>
        <v>17277.102221657751</v>
      </c>
      <c r="AH92" s="8">
        <f t="shared" si="77"/>
        <v>17104.331199441167</v>
      </c>
      <c r="AI92" s="8">
        <f t="shared" si="77"/>
        <v>16933.287887446757</v>
      </c>
      <c r="AJ92" s="8">
        <f t="shared" si="77"/>
        <v>16763.955008572291</v>
      </c>
      <c r="AK92" s="8">
        <f t="shared" si="77"/>
        <v>16596.31545848657</v>
      </c>
      <c r="AL92" s="8">
        <f t="shared" si="77"/>
        <v>16430.352303901702</v>
      </c>
      <c r="AM92" s="8">
        <f t="shared" si="77"/>
        <v>16266.048780862686</v>
      </c>
      <c r="AN92" s="8">
        <f t="shared" si="77"/>
        <v>16103.388293054059</v>
      </c>
      <c r="AO92" s="8">
        <f t="shared" si="77"/>
        <v>15942.354410123518</v>
      </c>
      <c r="AP92" s="8">
        <f t="shared" si="77"/>
        <v>15782.930866022281</v>
      </c>
      <c r="AQ92" s="8">
        <f t="shared" si="77"/>
        <v>15625.101557362057</v>
      </c>
      <c r="AR92" s="8">
        <f t="shared" si="77"/>
        <v>15468.850541788437</v>
      </c>
      <c r="AS92" s="8">
        <f t="shared" si="77"/>
        <v>15314.162036370553</v>
      </c>
      <c r="AT92" s="8">
        <f t="shared" si="77"/>
        <v>15161.020416006848</v>
      </c>
      <c r="AU92" s="8">
        <f t="shared" si="77"/>
        <v>15009.410211846778</v>
      </c>
    </row>
    <row r="93" spans="1:48" x14ac:dyDescent="0.3">
      <c r="A93" s="277"/>
      <c r="B93" s="278"/>
      <c r="C93" s="278"/>
      <c r="D93" s="278"/>
      <c r="E93" s="278"/>
      <c r="F93" s="278"/>
      <c r="G93" s="278"/>
      <c r="H93" s="278"/>
      <c r="I93" s="278"/>
      <c r="J93" s="278"/>
      <c r="K93" s="278"/>
      <c r="L93" s="278"/>
      <c r="M93" s="278"/>
      <c r="N93" s="278"/>
      <c r="O93" s="278"/>
      <c r="P93" s="278"/>
      <c r="Q93" s="278"/>
      <c r="R93" s="278"/>
      <c r="S93" s="278"/>
      <c r="T93" s="278"/>
      <c r="U93" s="278"/>
      <c r="V93" s="278"/>
      <c r="Y93" s="534">
        <v>0.02</v>
      </c>
      <c r="Z93" s="7"/>
      <c r="AA93" s="7">
        <v>2020</v>
      </c>
      <c r="AB93" s="7">
        <v>2021</v>
      </c>
      <c r="AC93" s="7">
        <v>2022</v>
      </c>
      <c r="AD93" s="7">
        <v>2023</v>
      </c>
      <c r="AE93" s="7">
        <v>2024</v>
      </c>
      <c r="AF93" s="7">
        <v>2025</v>
      </c>
      <c r="AG93" s="7">
        <v>2026</v>
      </c>
      <c r="AH93" s="7">
        <v>2027</v>
      </c>
      <c r="AI93" s="7">
        <v>2028</v>
      </c>
      <c r="AJ93" s="7">
        <v>2029</v>
      </c>
      <c r="AK93" s="7">
        <v>2030</v>
      </c>
      <c r="AL93" s="7">
        <v>2031</v>
      </c>
      <c r="AM93" s="7">
        <v>2032</v>
      </c>
      <c r="AN93" s="7">
        <v>2033</v>
      </c>
      <c r="AO93" s="7">
        <v>2034</v>
      </c>
      <c r="AP93" s="7">
        <v>2035</v>
      </c>
      <c r="AQ93" s="7">
        <v>2036</v>
      </c>
      <c r="AR93" s="7">
        <v>2037</v>
      </c>
      <c r="AS93" s="7">
        <v>2038</v>
      </c>
      <c r="AT93" s="7">
        <v>2039</v>
      </c>
      <c r="AU93" s="7">
        <v>2040</v>
      </c>
    </row>
    <row r="94" spans="1:48" x14ac:dyDescent="0.3">
      <c r="A94" s="277"/>
      <c r="B94" s="278"/>
      <c r="C94" s="278"/>
      <c r="D94" s="278"/>
      <c r="E94" s="278"/>
      <c r="F94" s="278"/>
      <c r="G94" s="278"/>
      <c r="H94" s="278"/>
      <c r="I94" s="278"/>
      <c r="J94" s="278"/>
      <c r="K94" s="278"/>
      <c r="L94" s="278"/>
      <c r="M94" s="278"/>
      <c r="N94" s="278"/>
      <c r="O94" s="278"/>
      <c r="P94" s="278"/>
      <c r="Q94" s="278"/>
      <c r="R94" s="278"/>
      <c r="S94" s="278"/>
      <c r="T94" s="278"/>
      <c r="U94" s="278"/>
      <c r="V94" s="278"/>
      <c r="Y94" s="535"/>
      <c r="Z94" s="3" t="s">
        <v>0</v>
      </c>
      <c r="AA94" s="2">
        <f>B3</f>
        <v>6548.8704746003232</v>
      </c>
      <c r="AB94" s="2">
        <f>AA94*0.98</f>
        <v>6417.8930651083165</v>
      </c>
      <c r="AC94" s="2">
        <f t="shared" ref="AC94:AU98" si="78">AB94*0.98</f>
        <v>6289.5352038061501</v>
      </c>
      <c r="AD94" s="2">
        <f t="shared" si="78"/>
        <v>6163.7444997300272</v>
      </c>
      <c r="AE94" s="2">
        <f t="shared" si="78"/>
        <v>6040.4696097354263</v>
      </c>
      <c r="AF94" s="2">
        <f t="shared" si="78"/>
        <v>5919.6602175407179</v>
      </c>
      <c r="AG94" s="2">
        <f t="shared" si="78"/>
        <v>5801.2670131899031</v>
      </c>
      <c r="AH94" s="2">
        <f t="shared" si="78"/>
        <v>5685.2416729261049</v>
      </c>
      <c r="AI94" s="2">
        <f t="shared" si="78"/>
        <v>5571.5368394675825</v>
      </c>
      <c r="AJ94" s="2">
        <f t="shared" si="78"/>
        <v>5460.1061026782309</v>
      </c>
      <c r="AK94" s="2">
        <f t="shared" si="78"/>
        <v>5350.9039806246665</v>
      </c>
      <c r="AL94" s="2">
        <f t="shared" si="78"/>
        <v>5243.8859010121732</v>
      </c>
      <c r="AM94" s="2">
        <f t="shared" si="78"/>
        <v>5139.00818299193</v>
      </c>
      <c r="AN94" s="2">
        <f t="shared" si="78"/>
        <v>5036.2280193320912</v>
      </c>
      <c r="AO94" s="2">
        <f t="shared" si="78"/>
        <v>4935.503458945449</v>
      </c>
      <c r="AP94" s="2">
        <f t="shared" si="78"/>
        <v>4836.7933897665398</v>
      </c>
      <c r="AQ94" s="2">
        <f t="shared" si="78"/>
        <v>4740.0575219712091</v>
      </c>
      <c r="AR94" s="2">
        <f t="shared" si="78"/>
        <v>4645.2563715317847</v>
      </c>
      <c r="AS94" s="2">
        <f t="shared" si="78"/>
        <v>4552.3512441011489</v>
      </c>
      <c r="AT94" s="2">
        <f t="shared" si="78"/>
        <v>4461.304219219126</v>
      </c>
      <c r="AU94" s="2">
        <f t="shared" si="78"/>
        <v>4372.0781348347437</v>
      </c>
    </row>
    <row r="95" spans="1:48" x14ac:dyDescent="0.3">
      <c r="A95" s="277"/>
      <c r="B95" s="278"/>
      <c r="C95" s="278"/>
      <c r="D95" s="278"/>
      <c r="E95" s="278"/>
      <c r="F95" s="278"/>
      <c r="G95" s="278"/>
      <c r="H95" s="278"/>
      <c r="I95" s="278"/>
      <c r="J95" s="278"/>
      <c r="K95" s="278"/>
      <c r="L95" s="278"/>
      <c r="M95" s="278"/>
      <c r="N95" s="278"/>
      <c r="O95" s="278"/>
      <c r="P95" s="278"/>
      <c r="Q95" s="278"/>
      <c r="R95" s="278"/>
      <c r="S95" s="278"/>
      <c r="T95" s="278"/>
      <c r="U95" s="278"/>
      <c r="V95" s="278"/>
      <c r="Y95" s="535"/>
      <c r="Z95" s="3" t="s">
        <v>1</v>
      </c>
      <c r="AA95" s="2">
        <f>B5</f>
        <v>9497.1742721705814</v>
      </c>
      <c r="AB95" s="2">
        <f>AA95*0.98</f>
        <v>9307.2307867271702</v>
      </c>
      <c r="AC95" s="2">
        <f t="shared" ref="AC95:AQ95" si="79">AB95*0.98</f>
        <v>9121.0861709926266</v>
      </c>
      <c r="AD95" s="2">
        <f t="shared" si="79"/>
        <v>8938.6644475727735</v>
      </c>
      <c r="AE95" s="2">
        <f t="shared" si="79"/>
        <v>8759.891158621318</v>
      </c>
      <c r="AF95" s="2">
        <f t="shared" si="79"/>
        <v>8584.693335448892</v>
      </c>
      <c r="AG95" s="2">
        <f t="shared" si="79"/>
        <v>8412.9994687399139</v>
      </c>
      <c r="AH95" s="2">
        <f t="shared" si="79"/>
        <v>8244.7394793651147</v>
      </c>
      <c r="AI95" s="2">
        <f t="shared" si="79"/>
        <v>8079.8446897778122</v>
      </c>
      <c r="AJ95" s="2">
        <f t="shared" si="79"/>
        <v>7918.2477959822554</v>
      </c>
      <c r="AK95" s="2">
        <f t="shared" si="79"/>
        <v>7759.8828400626098</v>
      </c>
      <c r="AL95" s="2">
        <f t="shared" si="79"/>
        <v>7604.6851832613575</v>
      </c>
      <c r="AM95" s="2">
        <f t="shared" si="79"/>
        <v>7452.5914795961298</v>
      </c>
      <c r="AN95" s="2">
        <f t="shared" si="79"/>
        <v>7303.539650004207</v>
      </c>
      <c r="AO95" s="2">
        <f t="shared" si="79"/>
        <v>7157.4688570041226</v>
      </c>
      <c r="AP95" s="2">
        <f t="shared" si="79"/>
        <v>7014.3194798640397</v>
      </c>
      <c r="AQ95" s="2">
        <f t="shared" si="79"/>
        <v>6874.0330902667592</v>
      </c>
      <c r="AR95" s="2">
        <f t="shared" si="78"/>
        <v>6736.5524284614239</v>
      </c>
      <c r="AS95" s="2">
        <f t="shared" si="78"/>
        <v>6601.8213798921952</v>
      </c>
      <c r="AT95" s="2">
        <f t="shared" si="78"/>
        <v>6469.7849522943516</v>
      </c>
      <c r="AU95" s="2">
        <f t="shared" si="78"/>
        <v>6340.3892532484642</v>
      </c>
    </row>
    <row r="96" spans="1:48" x14ac:dyDescent="0.3">
      <c r="A96" s="277"/>
      <c r="B96" s="278"/>
      <c r="C96" s="278"/>
      <c r="D96" s="278"/>
      <c r="E96" s="278"/>
      <c r="F96" s="278"/>
      <c r="G96" s="278"/>
      <c r="H96" s="278"/>
      <c r="I96" s="278"/>
      <c r="J96" s="278"/>
      <c r="K96" s="278"/>
      <c r="L96" s="278"/>
      <c r="M96" s="278"/>
      <c r="N96" s="278"/>
      <c r="O96" s="278"/>
      <c r="P96" s="278"/>
      <c r="Q96" s="278"/>
      <c r="R96" s="278"/>
      <c r="S96" s="278"/>
      <c r="T96" s="278"/>
      <c r="U96" s="278"/>
      <c r="V96" s="278"/>
      <c r="Y96" s="535"/>
      <c r="Z96" s="3" t="s">
        <v>2</v>
      </c>
      <c r="AA96" s="2">
        <f>B7</f>
        <v>1853.2210095348682</v>
      </c>
      <c r="AB96" s="2">
        <f>AA96*0.98</f>
        <v>1816.1565893441709</v>
      </c>
      <c r="AC96" s="2">
        <f t="shared" si="78"/>
        <v>1779.8334575572874</v>
      </c>
      <c r="AD96" s="2">
        <f t="shared" si="78"/>
        <v>1744.2367884061416</v>
      </c>
      <c r="AE96" s="2">
        <f t="shared" si="78"/>
        <v>1709.3520526380187</v>
      </c>
      <c r="AF96" s="2">
        <f t="shared" si="78"/>
        <v>1675.1650115852583</v>
      </c>
      <c r="AG96" s="2">
        <f t="shared" si="78"/>
        <v>1641.6617113535531</v>
      </c>
      <c r="AH96" s="2">
        <f t="shared" si="78"/>
        <v>1608.8284771264821</v>
      </c>
      <c r="AI96" s="2">
        <f t="shared" si="78"/>
        <v>1576.6519075839524</v>
      </c>
      <c r="AJ96" s="2">
        <f t="shared" si="78"/>
        <v>1545.1188694322734</v>
      </c>
      <c r="AK96" s="2">
        <f t="shared" si="78"/>
        <v>1514.216492043628</v>
      </c>
      <c r="AL96" s="2">
        <f t="shared" si="78"/>
        <v>1483.9321622027555</v>
      </c>
      <c r="AM96" s="2">
        <f t="shared" si="78"/>
        <v>1454.2535189587004</v>
      </c>
      <c r="AN96" s="2">
        <f t="shared" si="78"/>
        <v>1425.1684485795263</v>
      </c>
      <c r="AO96" s="2">
        <f t="shared" si="78"/>
        <v>1396.6650796079357</v>
      </c>
      <c r="AP96" s="2">
        <f t="shared" si="78"/>
        <v>1368.7317780157769</v>
      </c>
      <c r="AQ96" s="2">
        <f t="shared" si="78"/>
        <v>1341.3571424554614</v>
      </c>
      <c r="AR96" s="2">
        <f t="shared" si="78"/>
        <v>1314.529999606352</v>
      </c>
      <c r="AS96" s="2">
        <f t="shared" si="78"/>
        <v>1288.239399614225</v>
      </c>
      <c r="AT96" s="2">
        <f t="shared" si="78"/>
        <v>1262.4746116219405</v>
      </c>
      <c r="AU96" s="2">
        <f t="shared" si="78"/>
        <v>1237.2251193895017</v>
      </c>
    </row>
    <row r="97" spans="1:47" x14ac:dyDescent="0.3">
      <c r="A97" s="277"/>
      <c r="B97" s="278"/>
      <c r="C97" s="278"/>
      <c r="D97" s="278"/>
      <c r="E97" s="278"/>
      <c r="F97" s="278"/>
      <c r="G97" s="278"/>
      <c r="H97" s="278"/>
      <c r="I97" s="278"/>
      <c r="J97" s="278"/>
      <c r="K97" s="278"/>
      <c r="L97" s="278"/>
      <c r="M97" s="278"/>
      <c r="N97" s="278"/>
      <c r="O97" s="278"/>
      <c r="P97" s="278"/>
      <c r="Q97" s="278"/>
      <c r="R97" s="278"/>
      <c r="S97" s="278"/>
      <c r="T97" s="278"/>
      <c r="U97" s="278"/>
      <c r="V97" s="278"/>
      <c r="Y97" s="535"/>
      <c r="Z97" s="3" t="s">
        <v>6</v>
      </c>
      <c r="AA97" s="2">
        <f>B9</f>
        <v>377.58416084422981</v>
      </c>
      <c r="AB97" s="2">
        <f>AA97*0.98</f>
        <v>370.0324776273452</v>
      </c>
      <c r="AC97" s="2">
        <f t="shared" si="78"/>
        <v>362.63182807479831</v>
      </c>
      <c r="AD97" s="2">
        <f t="shared" si="78"/>
        <v>355.37919151330232</v>
      </c>
      <c r="AE97" s="2">
        <f t="shared" si="78"/>
        <v>348.27160768303628</v>
      </c>
      <c r="AF97" s="2">
        <f t="shared" si="78"/>
        <v>341.30617552937554</v>
      </c>
      <c r="AG97" s="2">
        <f t="shared" si="78"/>
        <v>334.480052018788</v>
      </c>
      <c r="AH97" s="2">
        <f t="shared" si="78"/>
        <v>327.79045097841225</v>
      </c>
      <c r="AI97" s="2">
        <f t="shared" si="78"/>
        <v>321.23464195884401</v>
      </c>
      <c r="AJ97" s="2">
        <f t="shared" si="78"/>
        <v>314.80994911966712</v>
      </c>
      <c r="AK97" s="2">
        <f t="shared" si="78"/>
        <v>308.5137501372738</v>
      </c>
      <c r="AL97" s="2">
        <f t="shared" si="78"/>
        <v>302.34347513452832</v>
      </c>
      <c r="AM97" s="2">
        <f t="shared" si="78"/>
        <v>296.29660563183774</v>
      </c>
      <c r="AN97" s="2">
        <f t="shared" si="78"/>
        <v>290.37067351920098</v>
      </c>
      <c r="AO97" s="2">
        <f t="shared" si="78"/>
        <v>284.56326004881697</v>
      </c>
      <c r="AP97" s="2">
        <f t="shared" si="78"/>
        <v>278.87199484784065</v>
      </c>
      <c r="AQ97" s="2">
        <f t="shared" si="78"/>
        <v>273.29455495088382</v>
      </c>
      <c r="AR97" s="2">
        <f t="shared" si="78"/>
        <v>267.82866385186617</v>
      </c>
      <c r="AS97" s="2">
        <f t="shared" si="78"/>
        <v>262.47209057482883</v>
      </c>
      <c r="AT97" s="2">
        <f t="shared" si="78"/>
        <v>257.22264876333224</v>
      </c>
      <c r="AU97" s="2">
        <f t="shared" si="78"/>
        <v>252.07819578806559</v>
      </c>
    </row>
    <row r="98" spans="1:47" x14ac:dyDescent="0.3">
      <c r="A98" s="277"/>
      <c r="B98" s="278"/>
      <c r="C98" s="278"/>
      <c r="D98" s="278"/>
      <c r="E98" s="278"/>
      <c r="F98" s="278"/>
      <c r="G98" s="278"/>
      <c r="H98" s="278"/>
      <c r="I98" s="278"/>
      <c r="J98" s="278"/>
      <c r="K98" s="278"/>
      <c r="L98" s="278"/>
      <c r="M98" s="278"/>
      <c r="N98" s="278"/>
      <c r="O98" s="278"/>
      <c r="P98" s="278"/>
      <c r="Q98" s="278"/>
      <c r="R98" s="278"/>
      <c r="S98" s="278"/>
      <c r="T98" s="278"/>
      <c r="U98" s="278"/>
      <c r="V98" s="278"/>
      <c r="Y98" s="535"/>
      <c r="Z98" s="3" t="s">
        <v>8</v>
      </c>
      <c r="AA98" s="2">
        <f>B11</f>
        <v>74.150082849993936</v>
      </c>
      <c r="AB98" s="2">
        <f>AA98*0.98</f>
        <v>72.667081192994061</v>
      </c>
      <c r="AC98" s="2">
        <f t="shared" si="78"/>
        <v>71.213739569134177</v>
      </c>
      <c r="AD98" s="2">
        <f t="shared" si="78"/>
        <v>69.78946477775149</v>
      </c>
      <c r="AE98" s="2">
        <f t="shared" si="78"/>
        <v>68.393675482196457</v>
      </c>
      <c r="AF98" s="2">
        <f t="shared" si="78"/>
        <v>67.025801972552529</v>
      </c>
      <c r="AG98" s="2">
        <f t="shared" si="78"/>
        <v>65.685285933101483</v>
      </c>
      <c r="AH98" s="2">
        <f t="shared" si="78"/>
        <v>64.371580214439447</v>
      </c>
      <c r="AI98" s="2">
        <f t="shared" si="78"/>
        <v>63.084148610150656</v>
      </c>
      <c r="AJ98" s="2">
        <f t="shared" si="78"/>
        <v>61.822465637947644</v>
      </c>
      <c r="AK98" s="2">
        <f t="shared" si="78"/>
        <v>60.586016325188687</v>
      </c>
      <c r="AL98" s="2">
        <f t="shared" si="78"/>
        <v>59.374295998684914</v>
      </c>
      <c r="AM98" s="2">
        <f t="shared" si="78"/>
        <v>58.186810078711218</v>
      </c>
      <c r="AN98" s="2">
        <f t="shared" si="78"/>
        <v>57.023073877136994</v>
      </c>
      <c r="AO98" s="2">
        <f t="shared" si="78"/>
        <v>55.882612399594251</v>
      </c>
      <c r="AP98" s="2">
        <f t="shared" si="78"/>
        <v>54.764960151602367</v>
      </c>
      <c r="AQ98" s="2">
        <f t="shared" si="78"/>
        <v>53.669660948570318</v>
      </c>
      <c r="AR98" s="2">
        <f t="shared" si="78"/>
        <v>52.596267729598914</v>
      </c>
      <c r="AS98" s="2">
        <f t="shared" si="78"/>
        <v>51.544342375006934</v>
      </c>
      <c r="AT98" s="2">
        <f t="shared" si="78"/>
        <v>50.513455527506792</v>
      </c>
      <c r="AU98" s="2">
        <f t="shared" si="78"/>
        <v>49.503186416956659</v>
      </c>
    </row>
    <row r="99" spans="1:47" ht="15" thickBot="1" x14ac:dyDescent="0.35">
      <c r="A99" s="277"/>
      <c r="B99" s="278"/>
      <c r="C99" s="278"/>
      <c r="D99" s="278"/>
      <c r="E99" s="278"/>
      <c r="F99" s="278"/>
      <c r="G99" s="278"/>
      <c r="H99" s="278"/>
      <c r="I99" s="278"/>
      <c r="J99" s="278"/>
      <c r="K99" s="278"/>
      <c r="L99" s="278"/>
      <c r="M99" s="278"/>
      <c r="N99" s="278"/>
      <c r="O99" s="278"/>
      <c r="P99" s="278"/>
      <c r="Q99" s="278"/>
      <c r="R99" s="278"/>
      <c r="S99" s="278"/>
      <c r="T99" s="278"/>
      <c r="U99" s="278"/>
      <c r="V99" s="278"/>
      <c r="Y99" s="536"/>
      <c r="Z99" s="292" t="s">
        <v>16</v>
      </c>
      <c r="AA99" s="8">
        <f t="shared" ref="AA99:AU99" si="80">SUM(AA94:AA98)</f>
        <v>18351</v>
      </c>
      <c r="AB99" s="8">
        <f t="shared" si="80"/>
        <v>17983.979999999996</v>
      </c>
      <c r="AC99" s="8">
        <f t="shared" si="80"/>
        <v>17624.300399999996</v>
      </c>
      <c r="AD99" s="8">
        <f t="shared" si="80"/>
        <v>17271.814391999993</v>
      </c>
      <c r="AE99" s="8">
        <f t="shared" si="80"/>
        <v>16926.378104159994</v>
      </c>
      <c r="AF99" s="8">
        <f t="shared" si="80"/>
        <v>16587.850542076798</v>
      </c>
      <c r="AG99" s="8">
        <f t="shared" si="80"/>
        <v>16256.093531235258</v>
      </c>
      <c r="AH99" s="8">
        <f t="shared" si="80"/>
        <v>15930.971660610556</v>
      </c>
      <c r="AI99" s="8">
        <f t="shared" si="80"/>
        <v>15612.352227398344</v>
      </c>
      <c r="AJ99" s="8">
        <f t="shared" si="80"/>
        <v>15300.105182850375</v>
      </c>
      <c r="AK99" s="8">
        <f t="shared" si="80"/>
        <v>14994.103079193368</v>
      </c>
      <c r="AL99" s="8">
        <f t="shared" si="80"/>
        <v>14694.221017609501</v>
      </c>
      <c r="AM99" s="8">
        <f t="shared" si="80"/>
        <v>14400.336597257308</v>
      </c>
      <c r="AN99" s="8">
        <f t="shared" si="80"/>
        <v>14112.329865312164</v>
      </c>
      <c r="AO99" s="8">
        <f t="shared" si="80"/>
        <v>13830.083268005919</v>
      </c>
      <c r="AP99" s="8">
        <f t="shared" si="80"/>
        <v>13553.481602645799</v>
      </c>
      <c r="AQ99" s="8">
        <f t="shared" si="80"/>
        <v>13282.411970592882</v>
      </c>
      <c r="AR99" s="8">
        <f t="shared" si="80"/>
        <v>13016.763731181025</v>
      </c>
      <c r="AS99" s="8">
        <f t="shared" si="80"/>
        <v>12756.428456557407</v>
      </c>
      <c r="AT99" s="8">
        <f t="shared" si="80"/>
        <v>12501.299887426259</v>
      </c>
      <c r="AU99" s="8">
        <f t="shared" si="80"/>
        <v>12251.273889677734</v>
      </c>
    </row>
    <row r="100" spans="1:47" x14ac:dyDescent="0.3">
      <c r="A100" s="277"/>
      <c r="B100" s="278"/>
      <c r="C100" s="278"/>
      <c r="D100" s="278"/>
      <c r="E100" s="278"/>
      <c r="F100" s="278"/>
      <c r="G100" s="278"/>
      <c r="H100" s="278"/>
      <c r="I100" s="278"/>
      <c r="J100" s="278"/>
      <c r="K100" s="278"/>
      <c r="L100" s="278"/>
      <c r="M100" s="278"/>
      <c r="N100" s="278"/>
      <c r="O100" s="278"/>
      <c r="P100" s="278"/>
      <c r="Q100" s="278"/>
      <c r="R100" s="278"/>
      <c r="S100" s="278"/>
      <c r="T100" s="278"/>
      <c r="U100" s="278"/>
      <c r="V100" s="278"/>
      <c r="Y100" s="534">
        <v>0.05</v>
      </c>
      <c r="Z100" s="7"/>
      <c r="AA100" s="7">
        <v>2020</v>
      </c>
      <c r="AB100" s="7">
        <v>2021</v>
      </c>
      <c r="AC100" s="7">
        <v>2022</v>
      </c>
      <c r="AD100" s="7">
        <v>2023</v>
      </c>
      <c r="AE100" s="7">
        <v>2024</v>
      </c>
      <c r="AF100" s="7">
        <v>2025</v>
      </c>
      <c r="AG100" s="7">
        <v>2026</v>
      </c>
      <c r="AH100" s="7">
        <v>2027</v>
      </c>
      <c r="AI100" s="7">
        <v>2028</v>
      </c>
      <c r="AJ100" s="7">
        <v>2029</v>
      </c>
      <c r="AK100" s="7">
        <v>2030</v>
      </c>
      <c r="AL100" s="7">
        <v>2031</v>
      </c>
      <c r="AM100" s="7">
        <v>2032</v>
      </c>
      <c r="AN100" s="7">
        <v>2033</v>
      </c>
      <c r="AO100" s="7">
        <v>2034</v>
      </c>
      <c r="AP100" s="7">
        <v>2035</v>
      </c>
      <c r="AQ100" s="7">
        <v>2036</v>
      </c>
      <c r="AR100" s="7">
        <v>2037</v>
      </c>
      <c r="AS100" s="7">
        <v>2038</v>
      </c>
      <c r="AT100" s="7">
        <v>2039</v>
      </c>
      <c r="AU100" s="7">
        <v>2040</v>
      </c>
    </row>
    <row r="101" spans="1:47" x14ac:dyDescent="0.3">
      <c r="A101" s="277"/>
      <c r="B101" s="278"/>
      <c r="C101" s="278"/>
      <c r="D101" s="278"/>
      <c r="E101" s="278"/>
      <c r="F101" s="278"/>
      <c r="G101" s="278"/>
      <c r="H101" s="278"/>
      <c r="I101" s="278"/>
      <c r="J101" s="278"/>
      <c r="K101" s="278"/>
      <c r="L101" s="278"/>
      <c r="M101" s="278"/>
      <c r="N101" s="278"/>
      <c r="O101" s="278"/>
      <c r="P101" s="278"/>
      <c r="Q101" s="278"/>
      <c r="R101" s="278"/>
      <c r="S101" s="278"/>
      <c r="T101" s="278"/>
      <c r="U101" s="278"/>
      <c r="V101" s="278"/>
      <c r="Y101" s="535"/>
      <c r="Z101" s="3" t="s">
        <v>0</v>
      </c>
      <c r="AA101" s="2">
        <f>B3</f>
        <v>6548.8704746003232</v>
      </c>
      <c r="AB101" s="2">
        <f>AA101*0.95</f>
        <v>6221.4269508703064</v>
      </c>
      <c r="AC101" s="2">
        <f t="shared" ref="AC101:AU105" si="81">AB101*0.95</f>
        <v>5910.3556033267905</v>
      </c>
      <c r="AD101" s="2">
        <f t="shared" si="81"/>
        <v>5614.8378231604511</v>
      </c>
      <c r="AE101" s="2">
        <f t="shared" si="81"/>
        <v>5334.0959320024285</v>
      </c>
      <c r="AF101" s="2">
        <f t="shared" si="81"/>
        <v>5067.3911354023066</v>
      </c>
      <c r="AG101" s="2">
        <f t="shared" si="81"/>
        <v>4814.0215786321914</v>
      </c>
      <c r="AH101" s="2">
        <f t="shared" si="81"/>
        <v>4573.3204997005814</v>
      </c>
      <c r="AI101" s="2">
        <f t="shared" si="81"/>
        <v>4344.6544747155522</v>
      </c>
      <c r="AJ101" s="2">
        <f t="shared" si="81"/>
        <v>4127.4217509797745</v>
      </c>
      <c r="AK101" s="2">
        <f t="shared" si="81"/>
        <v>3921.0506634307858</v>
      </c>
      <c r="AL101" s="2">
        <f t="shared" si="81"/>
        <v>3724.9981302592464</v>
      </c>
      <c r="AM101" s="2">
        <f t="shared" si="81"/>
        <v>3538.7482237462841</v>
      </c>
      <c r="AN101" s="2">
        <f t="shared" si="81"/>
        <v>3361.8108125589697</v>
      </c>
      <c r="AO101" s="2">
        <f t="shared" si="81"/>
        <v>3193.7202719310212</v>
      </c>
      <c r="AP101" s="2">
        <f t="shared" si="81"/>
        <v>3034.03425833447</v>
      </c>
      <c r="AQ101" s="2">
        <f t="shared" si="81"/>
        <v>2882.3325454177466</v>
      </c>
      <c r="AR101" s="2">
        <f t="shared" si="81"/>
        <v>2738.2159181468592</v>
      </c>
      <c r="AS101" s="2">
        <f t="shared" si="81"/>
        <v>2601.3051222395161</v>
      </c>
      <c r="AT101" s="2">
        <f t="shared" si="81"/>
        <v>2471.2398661275402</v>
      </c>
      <c r="AU101" s="2">
        <f t="shared" si="81"/>
        <v>2347.677872821163</v>
      </c>
    </row>
    <row r="102" spans="1:47" x14ac:dyDescent="0.3">
      <c r="A102" s="277"/>
      <c r="B102" s="532" t="s">
        <v>18</v>
      </c>
      <c r="C102" s="532"/>
      <c r="D102" s="532"/>
      <c r="E102" s="532"/>
      <c r="F102" s="532"/>
      <c r="G102" s="532"/>
      <c r="H102" s="532"/>
      <c r="I102" s="532"/>
      <c r="J102" s="532"/>
      <c r="K102" s="532"/>
      <c r="L102" s="532"/>
      <c r="M102" s="532"/>
      <c r="N102" s="532"/>
      <c r="O102" s="532"/>
      <c r="P102" s="532"/>
      <c r="Q102" s="532"/>
      <c r="R102" s="532"/>
      <c r="S102" s="532"/>
      <c r="T102" s="532"/>
      <c r="U102" s="532"/>
      <c r="V102" s="532"/>
      <c r="Y102" s="535"/>
      <c r="Z102" s="3" t="s">
        <v>1</v>
      </c>
      <c r="AA102" s="2">
        <f>B5</f>
        <v>9497.1742721705814</v>
      </c>
      <c r="AB102" s="2">
        <f>AA102*0.95</f>
        <v>9022.3155585620516</v>
      </c>
      <c r="AC102" s="2">
        <f t="shared" ref="AC102:AQ102" si="82">AB102*0.95</f>
        <v>8571.1997806339477</v>
      </c>
      <c r="AD102" s="2">
        <f t="shared" si="82"/>
        <v>8142.6397916022497</v>
      </c>
      <c r="AE102" s="2">
        <f t="shared" si="82"/>
        <v>7735.5078020221372</v>
      </c>
      <c r="AF102" s="2">
        <f t="shared" si="82"/>
        <v>7348.7324119210298</v>
      </c>
      <c r="AG102" s="2">
        <f t="shared" si="82"/>
        <v>6981.2957913249784</v>
      </c>
      <c r="AH102" s="2">
        <f t="shared" si="82"/>
        <v>6632.2310017587288</v>
      </c>
      <c r="AI102" s="2">
        <f t="shared" si="82"/>
        <v>6300.6194516707919</v>
      </c>
      <c r="AJ102" s="2">
        <f t="shared" si="82"/>
        <v>5985.5884790872524</v>
      </c>
      <c r="AK102" s="2">
        <f t="shared" si="82"/>
        <v>5686.3090551328896</v>
      </c>
      <c r="AL102" s="2">
        <f t="shared" si="82"/>
        <v>5401.9936023762448</v>
      </c>
      <c r="AM102" s="2">
        <f t="shared" si="82"/>
        <v>5131.8939222574327</v>
      </c>
      <c r="AN102" s="2">
        <f t="shared" si="82"/>
        <v>4875.2992261445606</v>
      </c>
      <c r="AO102" s="2">
        <f t="shared" si="82"/>
        <v>4631.5342648373326</v>
      </c>
      <c r="AP102" s="2">
        <f t="shared" si="82"/>
        <v>4399.9575515954657</v>
      </c>
      <c r="AQ102" s="2">
        <f t="shared" si="82"/>
        <v>4179.9596740156921</v>
      </c>
      <c r="AR102" s="2">
        <f t="shared" si="81"/>
        <v>3970.9616903149072</v>
      </c>
      <c r="AS102" s="2">
        <f t="shared" si="81"/>
        <v>3772.4136057991618</v>
      </c>
      <c r="AT102" s="2">
        <f t="shared" si="81"/>
        <v>3583.7929255092035</v>
      </c>
      <c r="AU102" s="2">
        <f t="shared" si="81"/>
        <v>3404.6032792337433</v>
      </c>
    </row>
    <row r="103" spans="1:47" x14ac:dyDescent="0.3">
      <c r="A103" s="277"/>
      <c r="B103" s="288"/>
      <c r="C103" s="283"/>
      <c r="D103" s="283"/>
      <c r="E103" s="283"/>
      <c r="F103" s="283"/>
      <c r="G103" s="283"/>
      <c r="H103" s="283"/>
      <c r="I103" s="283"/>
      <c r="J103" s="285">
        <v>1</v>
      </c>
      <c r="K103" s="285">
        <v>2</v>
      </c>
      <c r="L103" s="285">
        <v>3</v>
      </c>
      <c r="M103" s="285">
        <v>4</v>
      </c>
      <c r="N103" s="285">
        <v>5</v>
      </c>
      <c r="O103" s="285">
        <v>6</v>
      </c>
      <c r="P103" s="285">
        <v>7</v>
      </c>
      <c r="Q103" s="285">
        <v>8</v>
      </c>
      <c r="R103" s="285">
        <v>9</v>
      </c>
      <c r="S103" s="285">
        <v>10</v>
      </c>
      <c r="T103" s="285">
        <v>11</v>
      </c>
      <c r="U103" s="285">
        <v>12</v>
      </c>
      <c r="V103" s="285">
        <v>13</v>
      </c>
      <c r="Y103" s="535"/>
      <c r="Z103" s="3" t="s">
        <v>2</v>
      </c>
      <c r="AA103" s="2">
        <f>B7</f>
        <v>1853.2210095348682</v>
      </c>
      <c r="AB103" s="2">
        <f>AA103*0.95</f>
        <v>1760.5599590581248</v>
      </c>
      <c r="AC103" s="2">
        <f t="shared" si="81"/>
        <v>1672.5319611052184</v>
      </c>
      <c r="AD103" s="2">
        <f t="shared" si="81"/>
        <v>1588.9053630499575</v>
      </c>
      <c r="AE103" s="2">
        <f t="shared" si="81"/>
        <v>1509.4600948974596</v>
      </c>
      <c r="AF103" s="2">
        <f t="shared" si="81"/>
        <v>1433.9870901525865</v>
      </c>
      <c r="AG103" s="2">
        <f t="shared" si="81"/>
        <v>1362.2877356449571</v>
      </c>
      <c r="AH103" s="2">
        <f t="shared" si="81"/>
        <v>1294.1733488627092</v>
      </c>
      <c r="AI103" s="2">
        <f t="shared" si="81"/>
        <v>1229.4646814195737</v>
      </c>
      <c r="AJ103" s="2">
        <f t="shared" si="81"/>
        <v>1167.9914473485949</v>
      </c>
      <c r="AK103" s="2">
        <f t="shared" si="81"/>
        <v>1109.5918749811651</v>
      </c>
      <c r="AL103" s="2">
        <f t="shared" si="81"/>
        <v>1054.1122812321069</v>
      </c>
      <c r="AM103" s="2">
        <f t="shared" si="81"/>
        <v>1001.4066671705015</v>
      </c>
      <c r="AN103" s="2">
        <f t="shared" si="81"/>
        <v>951.33633381197637</v>
      </c>
      <c r="AO103" s="2">
        <f t="shared" si="81"/>
        <v>903.76951712137748</v>
      </c>
      <c r="AP103" s="2">
        <f t="shared" si="81"/>
        <v>858.58104126530861</v>
      </c>
      <c r="AQ103" s="2">
        <f t="shared" si="81"/>
        <v>815.65198920204318</v>
      </c>
      <c r="AR103" s="2">
        <f t="shared" si="81"/>
        <v>774.86938974194095</v>
      </c>
      <c r="AS103" s="2">
        <f t="shared" si="81"/>
        <v>736.12592025484389</v>
      </c>
      <c r="AT103" s="2">
        <f t="shared" si="81"/>
        <v>699.31962424210167</v>
      </c>
      <c r="AU103" s="2">
        <f t="shared" si="81"/>
        <v>664.35364302999653</v>
      </c>
    </row>
    <row r="104" spans="1:47" x14ac:dyDescent="0.3">
      <c r="A104" s="277"/>
      <c r="B104" s="283"/>
      <c r="C104" s="283"/>
      <c r="D104" s="283"/>
      <c r="E104" s="283"/>
      <c r="F104" s="283"/>
      <c r="G104" s="283"/>
      <c r="H104" s="283"/>
      <c r="I104" s="283"/>
      <c r="J104" s="283"/>
      <c r="K104" s="283"/>
      <c r="L104" s="283"/>
      <c r="M104" s="283"/>
      <c r="N104" s="283"/>
      <c r="O104" s="283"/>
      <c r="P104" s="283"/>
      <c r="Q104" s="283"/>
      <c r="R104" s="283"/>
      <c r="S104" s="283"/>
      <c r="T104" s="283"/>
      <c r="U104" s="283"/>
      <c r="V104" s="283"/>
      <c r="Y104" s="535"/>
      <c r="Z104" s="3" t="s">
        <v>6</v>
      </c>
      <c r="AA104" s="2">
        <f>B9</f>
        <v>377.58416084422981</v>
      </c>
      <c r="AB104" s="2">
        <f>AA104*0.95</f>
        <v>358.70495280201828</v>
      </c>
      <c r="AC104" s="2">
        <f t="shared" si="81"/>
        <v>340.76970516191733</v>
      </c>
      <c r="AD104" s="2">
        <f t="shared" si="81"/>
        <v>323.73121990382145</v>
      </c>
      <c r="AE104" s="2">
        <f t="shared" si="81"/>
        <v>307.54465890863037</v>
      </c>
      <c r="AF104" s="2">
        <f t="shared" si="81"/>
        <v>292.16742596319881</v>
      </c>
      <c r="AG104" s="2">
        <f t="shared" si="81"/>
        <v>277.55905466503884</v>
      </c>
      <c r="AH104" s="2">
        <f t="shared" si="81"/>
        <v>263.68110193178688</v>
      </c>
      <c r="AI104" s="2">
        <f t="shared" si="81"/>
        <v>250.49704683519752</v>
      </c>
      <c r="AJ104" s="2">
        <f t="shared" si="81"/>
        <v>237.97219449343763</v>
      </c>
      <c r="AK104" s="2">
        <f t="shared" si="81"/>
        <v>226.07358476876573</v>
      </c>
      <c r="AL104" s="2">
        <f t="shared" si="81"/>
        <v>214.76990553032743</v>
      </c>
      <c r="AM104" s="2">
        <f t="shared" si="81"/>
        <v>204.03141025381106</v>
      </c>
      <c r="AN104" s="2">
        <f t="shared" si="81"/>
        <v>193.82983974112051</v>
      </c>
      <c r="AO104" s="2">
        <f t="shared" si="81"/>
        <v>184.13834775406448</v>
      </c>
      <c r="AP104" s="2">
        <f t="shared" si="81"/>
        <v>174.93143036636124</v>
      </c>
      <c r="AQ104" s="2">
        <f t="shared" si="81"/>
        <v>166.18485884804318</v>
      </c>
      <c r="AR104" s="2">
        <f t="shared" si="81"/>
        <v>157.87561590564101</v>
      </c>
      <c r="AS104" s="2">
        <f t="shared" si="81"/>
        <v>149.98183511035896</v>
      </c>
      <c r="AT104" s="2">
        <f t="shared" si="81"/>
        <v>142.48274335484101</v>
      </c>
      <c r="AU104" s="2">
        <f t="shared" si="81"/>
        <v>135.35860618709896</v>
      </c>
    </row>
    <row r="105" spans="1:47" x14ac:dyDescent="0.3">
      <c r="A105" s="282"/>
      <c r="B105" s="286"/>
      <c r="C105" s="286"/>
      <c r="D105" s="286"/>
      <c r="E105" s="286"/>
      <c r="F105" s="286"/>
      <c r="G105" s="286"/>
      <c r="H105" s="286"/>
      <c r="I105" s="286"/>
      <c r="J105" s="286">
        <v>7720.5313559925753</v>
      </c>
      <c r="K105" s="286">
        <v>7694.5679451923252</v>
      </c>
      <c r="L105" s="286">
        <v>7668.9693598365757</v>
      </c>
      <c r="M105" s="286">
        <v>7643.6084637855738</v>
      </c>
      <c r="N105" s="286">
        <v>7619.2211265438555</v>
      </c>
      <c r="O105" s="286">
        <v>7595.5178370105741</v>
      </c>
      <c r="P105" s="286">
        <v>7572.0943851761976</v>
      </c>
      <c r="Q105" s="286">
        <v>7549.241664056136</v>
      </c>
      <c r="R105" s="286">
        <v>7527.1621241337916</v>
      </c>
      <c r="S105" s="286">
        <v>7505.5904378131654</v>
      </c>
      <c r="T105" s="286">
        <v>7484.4955120166032</v>
      </c>
      <c r="U105" s="287">
        <f>0.2868*U103^2-27.054*U103+7747.4</f>
        <v>7464.0511999999999</v>
      </c>
      <c r="V105" s="287">
        <f>0.2868*V103^2-27.054*V103+7747.4</f>
        <v>7444.1671999999999</v>
      </c>
      <c r="Y105" s="535"/>
      <c r="Z105" s="3" t="s">
        <v>8</v>
      </c>
      <c r="AA105" s="2">
        <f>B11</f>
        <v>74.150082849993936</v>
      </c>
      <c r="AB105" s="2">
        <f>AA105*0.95</f>
        <v>70.442578707494235</v>
      </c>
      <c r="AC105" s="2">
        <f t="shared" si="81"/>
        <v>66.920449772119525</v>
      </c>
      <c r="AD105" s="2">
        <f t="shared" si="81"/>
        <v>63.574427283513543</v>
      </c>
      <c r="AE105" s="2">
        <f t="shared" si="81"/>
        <v>60.395705919337864</v>
      </c>
      <c r="AF105" s="2">
        <f t="shared" si="81"/>
        <v>57.375920623370966</v>
      </c>
      <c r="AG105" s="2">
        <f t="shared" si="81"/>
        <v>54.507124592202416</v>
      </c>
      <c r="AH105" s="2">
        <f t="shared" si="81"/>
        <v>51.781768362592295</v>
      </c>
      <c r="AI105" s="2">
        <f t="shared" si="81"/>
        <v>49.192679944462675</v>
      </c>
      <c r="AJ105" s="2">
        <f t="shared" si="81"/>
        <v>46.733045947239539</v>
      </c>
      <c r="AK105" s="2">
        <f t="shared" si="81"/>
        <v>44.39639364987756</v>
      </c>
      <c r="AL105" s="2">
        <f t="shared" si="81"/>
        <v>42.176573967383682</v>
      </c>
      <c r="AM105" s="2">
        <f t="shared" si="81"/>
        <v>40.067745269014495</v>
      </c>
      <c r="AN105" s="2">
        <f t="shared" si="81"/>
        <v>38.064358005563768</v>
      </c>
      <c r="AO105" s="2">
        <f t="shared" si="81"/>
        <v>36.161140105285575</v>
      </c>
      <c r="AP105" s="2">
        <f t="shared" si="81"/>
        <v>34.353083100021294</v>
      </c>
      <c r="AQ105" s="2">
        <f t="shared" si="81"/>
        <v>32.63542894502023</v>
      </c>
      <c r="AR105" s="2">
        <f t="shared" si="81"/>
        <v>31.003657497769218</v>
      </c>
      <c r="AS105" s="2">
        <f t="shared" si="81"/>
        <v>29.453474622880755</v>
      </c>
      <c r="AT105" s="2">
        <f t="shared" si="81"/>
        <v>27.980800891736717</v>
      </c>
      <c r="AU105" s="2">
        <f t="shared" si="81"/>
        <v>26.58176084714988</v>
      </c>
    </row>
    <row r="106" spans="1:47" ht="15" thickBot="1" x14ac:dyDescent="0.35">
      <c r="A106" s="277"/>
      <c r="B106" s="278"/>
      <c r="C106" s="278"/>
      <c r="D106" s="278"/>
      <c r="E106" s="278"/>
      <c r="F106" s="278"/>
      <c r="G106" s="278"/>
      <c r="H106" s="278"/>
      <c r="I106" s="278"/>
      <c r="J106" s="278"/>
      <c r="K106" s="278"/>
      <c r="L106" s="278"/>
      <c r="M106" s="278"/>
      <c r="N106" s="278"/>
      <c r="O106" s="278"/>
      <c r="P106" s="278"/>
      <c r="Q106" s="278"/>
      <c r="R106" s="278"/>
      <c r="S106" s="278"/>
      <c r="T106" s="278"/>
      <c r="U106" s="278"/>
      <c r="V106" s="278"/>
      <c r="Y106" s="536"/>
      <c r="Z106" s="292" t="s">
        <v>16</v>
      </c>
      <c r="AA106" s="8">
        <f t="shared" ref="AA106:AU106" si="83">SUM(AA101:AA105)</f>
        <v>18351</v>
      </c>
      <c r="AB106" s="8">
        <f t="shared" si="83"/>
        <v>17433.449999999997</v>
      </c>
      <c r="AC106" s="8">
        <f t="shared" si="83"/>
        <v>16561.777499999993</v>
      </c>
      <c r="AD106" s="8">
        <f t="shared" si="83"/>
        <v>15733.688624999993</v>
      </c>
      <c r="AE106" s="8">
        <f t="shared" si="83"/>
        <v>14947.004193749994</v>
      </c>
      <c r="AF106" s="8">
        <f t="shared" si="83"/>
        <v>14199.653984062492</v>
      </c>
      <c r="AG106" s="8">
        <f t="shared" si="83"/>
        <v>13489.671284859369</v>
      </c>
      <c r="AH106" s="8">
        <f t="shared" si="83"/>
        <v>12815.187720616399</v>
      </c>
      <c r="AI106" s="8">
        <f t="shared" si="83"/>
        <v>12174.428334585577</v>
      </c>
      <c r="AJ106" s="8">
        <f t="shared" si="83"/>
        <v>11565.706917856298</v>
      </c>
      <c r="AK106" s="8">
        <f t="shared" si="83"/>
        <v>10987.421571963483</v>
      </c>
      <c r="AL106" s="8">
        <f t="shared" si="83"/>
        <v>10438.050493365308</v>
      </c>
      <c r="AM106" s="8">
        <f t="shared" si="83"/>
        <v>9916.1479686970433</v>
      </c>
      <c r="AN106" s="8">
        <f t="shared" si="83"/>
        <v>9420.3405702621894</v>
      </c>
      <c r="AO106" s="8">
        <f t="shared" si="83"/>
        <v>8949.3235417490814</v>
      </c>
      <c r="AP106" s="8">
        <f t="shared" si="83"/>
        <v>8501.857364661626</v>
      </c>
      <c r="AQ106" s="8">
        <f t="shared" si="83"/>
        <v>8076.7644964285455</v>
      </c>
      <c r="AR106" s="8">
        <f t="shared" si="83"/>
        <v>7672.926271607118</v>
      </c>
      <c r="AS106" s="8">
        <f t="shared" si="83"/>
        <v>7289.2799580267611</v>
      </c>
      <c r="AT106" s="8">
        <f t="shared" si="83"/>
        <v>6924.8159601254238</v>
      </c>
      <c r="AU106" s="8">
        <f t="shared" si="83"/>
        <v>6578.5751621191512</v>
      </c>
    </row>
    <row r="107" spans="1:47" x14ac:dyDescent="0.3">
      <c r="A107" s="277"/>
      <c r="B107" s="278"/>
      <c r="C107" s="278"/>
      <c r="D107" s="278"/>
      <c r="E107" s="278"/>
      <c r="F107" s="278"/>
      <c r="G107" s="278"/>
      <c r="H107" s="278"/>
      <c r="I107" s="278"/>
      <c r="J107" s="278"/>
      <c r="K107" s="278"/>
      <c r="L107" s="278"/>
      <c r="M107" s="278"/>
      <c r="N107" s="278"/>
      <c r="O107" s="278"/>
      <c r="P107" s="278"/>
      <c r="Q107" s="278"/>
      <c r="R107" s="278"/>
      <c r="S107" s="278"/>
      <c r="T107" s="278"/>
      <c r="U107" s="278"/>
      <c r="V107" s="278"/>
    </row>
    <row r="108" spans="1:47" x14ac:dyDescent="0.3">
      <c r="A108" s="277"/>
      <c r="B108" s="278"/>
      <c r="C108" s="278"/>
      <c r="D108" s="278"/>
      <c r="E108" s="278"/>
      <c r="F108" s="278"/>
      <c r="G108" s="278"/>
      <c r="H108" s="278"/>
      <c r="I108" s="278"/>
      <c r="J108" s="278"/>
      <c r="K108" s="278"/>
      <c r="L108" s="278"/>
      <c r="M108" s="278"/>
      <c r="N108" s="278"/>
      <c r="O108" s="278"/>
      <c r="P108" s="278"/>
      <c r="Q108" s="278"/>
      <c r="R108" s="278"/>
      <c r="S108" s="278"/>
      <c r="T108" s="278"/>
      <c r="U108" s="278"/>
      <c r="V108" s="278"/>
    </row>
    <row r="109" spans="1:47" x14ac:dyDescent="0.3">
      <c r="A109" s="277"/>
      <c r="B109" s="278"/>
      <c r="C109" s="278"/>
      <c r="D109" s="278"/>
      <c r="E109" s="278"/>
      <c r="F109" s="278"/>
      <c r="G109" s="278"/>
      <c r="H109" s="278"/>
      <c r="I109" s="278"/>
      <c r="J109" s="278"/>
      <c r="K109" s="278"/>
      <c r="L109" s="278"/>
      <c r="M109" s="278"/>
      <c r="N109" s="278"/>
      <c r="O109" s="278"/>
      <c r="P109" s="278"/>
      <c r="Q109" s="278"/>
      <c r="R109" s="278"/>
      <c r="S109" s="278"/>
      <c r="T109" s="278"/>
      <c r="U109" s="278"/>
      <c r="V109" s="278"/>
    </row>
    <row r="110" spans="1:47" x14ac:dyDescent="0.3">
      <c r="A110" s="277"/>
      <c r="B110" s="278"/>
      <c r="C110" s="278"/>
      <c r="D110" s="278"/>
      <c r="E110" s="278"/>
      <c r="F110" s="278"/>
      <c r="G110" s="278"/>
      <c r="H110" s="278"/>
      <c r="I110" s="278"/>
      <c r="J110" s="278"/>
      <c r="K110" s="278"/>
      <c r="L110" s="278"/>
      <c r="M110" s="278"/>
      <c r="N110" s="278"/>
      <c r="O110" s="278"/>
      <c r="P110" s="278"/>
      <c r="Q110" s="278"/>
      <c r="R110" s="278"/>
      <c r="S110" s="278"/>
      <c r="T110" s="278"/>
      <c r="U110" s="278"/>
      <c r="V110" s="278"/>
    </row>
    <row r="111" spans="1:47" x14ac:dyDescent="0.3">
      <c r="A111" s="277"/>
      <c r="B111" s="278"/>
      <c r="C111" s="278"/>
      <c r="D111" s="278"/>
      <c r="E111" s="278"/>
      <c r="F111" s="278"/>
      <c r="G111" s="278"/>
      <c r="H111" s="278"/>
      <c r="I111" s="278"/>
      <c r="J111" s="278"/>
      <c r="K111" s="278"/>
      <c r="L111" s="278"/>
      <c r="M111" s="278"/>
      <c r="N111" s="278"/>
      <c r="O111" s="278"/>
      <c r="P111" s="278"/>
      <c r="Q111" s="278"/>
      <c r="R111" s="278"/>
      <c r="S111" s="278"/>
      <c r="T111" s="278"/>
      <c r="U111" s="278"/>
      <c r="V111" s="278"/>
    </row>
    <row r="112" spans="1:47" x14ac:dyDescent="0.3">
      <c r="A112" s="277"/>
      <c r="B112" s="278"/>
      <c r="C112" s="278"/>
      <c r="D112" s="278"/>
      <c r="E112" s="278"/>
      <c r="F112" s="278"/>
      <c r="G112" s="278"/>
      <c r="H112" s="278"/>
      <c r="I112" s="278"/>
      <c r="J112" s="278"/>
      <c r="K112" s="278"/>
      <c r="L112" s="278"/>
      <c r="M112" s="278"/>
      <c r="N112" s="278"/>
      <c r="O112" s="278"/>
      <c r="P112" s="278"/>
      <c r="Q112" s="278"/>
      <c r="R112" s="278"/>
      <c r="S112" s="278"/>
      <c r="T112" s="278"/>
      <c r="U112" s="278"/>
      <c r="V112" s="278"/>
    </row>
    <row r="113" spans="1:22" x14ac:dyDescent="0.3">
      <c r="A113" s="277"/>
      <c r="B113" s="278"/>
      <c r="C113" s="278"/>
      <c r="D113" s="278"/>
      <c r="E113" s="278"/>
      <c r="F113" s="278"/>
      <c r="G113" s="278"/>
      <c r="H113" s="278"/>
      <c r="I113" s="278"/>
      <c r="J113" s="278"/>
      <c r="K113" s="278"/>
      <c r="L113" s="278"/>
      <c r="M113" s="278"/>
      <c r="N113" s="278"/>
      <c r="O113" s="278"/>
      <c r="P113" s="278"/>
      <c r="Q113" s="278"/>
      <c r="R113" s="278"/>
      <c r="S113" s="278"/>
      <c r="T113" s="278"/>
      <c r="U113" s="278"/>
      <c r="V113" s="278"/>
    </row>
    <row r="114" spans="1:22" x14ac:dyDescent="0.3">
      <c r="A114" s="277"/>
      <c r="B114" s="278"/>
      <c r="C114" s="278"/>
      <c r="D114" s="278"/>
      <c r="E114" s="278"/>
      <c r="F114" s="278"/>
      <c r="G114" s="278"/>
      <c r="H114" s="278"/>
      <c r="I114" s="278"/>
      <c r="J114" s="278"/>
      <c r="K114" s="278"/>
      <c r="L114" s="278"/>
      <c r="M114" s="278"/>
      <c r="N114" s="278"/>
      <c r="O114" s="278"/>
      <c r="P114" s="278"/>
      <c r="Q114" s="278"/>
      <c r="R114" s="278"/>
      <c r="S114" s="278"/>
      <c r="T114" s="278"/>
      <c r="U114" s="278"/>
      <c r="V114" s="278"/>
    </row>
    <row r="115" spans="1:22" x14ac:dyDescent="0.3">
      <c r="A115" s="277"/>
      <c r="B115" s="278"/>
      <c r="C115" s="278"/>
      <c r="D115" s="278"/>
      <c r="E115" s="278"/>
      <c r="F115" s="278"/>
      <c r="G115" s="278"/>
      <c r="H115" s="278"/>
      <c r="I115" s="278"/>
      <c r="J115" s="278"/>
      <c r="K115" s="278"/>
      <c r="L115" s="278"/>
      <c r="M115" s="278"/>
      <c r="N115" s="278"/>
      <c r="O115" s="278"/>
      <c r="P115" s="278"/>
      <c r="Q115" s="278"/>
      <c r="R115" s="278"/>
      <c r="S115" s="278"/>
      <c r="T115" s="278"/>
      <c r="U115" s="278"/>
      <c r="V115" s="278"/>
    </row>
    <row r="116" spans="1:22" x14ac:dyDescent="0.3">
      <c r="A116" s="277"/>
      <c r="B116" s="278"/>
      <c r="C116" s="278"/>
      <c r="D116" s="278"/>
      <c r="E116" s="278"/>
      <c r="F116" s="278"/>
      <c r="G116" s="278"/>
      <c r="H116" s="278"/>
      <c r="I116" s="278"/>
      <c r="J116" s="278"/>
      <c r="K116" s="278"/>
      <c r="L116" s="278"/>
      <c r="M116" s="278"/>
      <c r="N116" s="278"/>
      <c r="O116" s="278"/>
      <c r="P116" s="278"/>
      <c r="Q116" s="278"/>
      <c r="R116" s="278"/>
      <c r="S116" s="278"/>
      <c r="T116" s="278"/>
      <c r="U116" s="278"/>
      <c r="V116" s="278"/>
    </row>
    <row r="117" spans="1:22" x14ac:dyDescent="0.3">
      <c r="A117" s="277"/>
      <c r="B117" s="278"/>
      <c r="C117" s="278"/>
      <c r="D117" s="278"/>
      <c r="E117" s="278"/>
      <c r="F117" s="278"/>
      <c r="G117" s="278"/>
      <c r="H117" s="278"/>
      <c r="I117" s="278"/>
      <c r="J117" s="278"/>
      <c r="K117" s="278"/>
      <c r="L117" s="278"/>
      <c r="M117" s="278"/>
      <c r="N117" s="278"/>
      <c r="O117" s="278"/>
      <c r="P117" s="278"/>
      <c r="Q117" s="278"/>
      <c r="R117" s="278"/>
      <c r="S117" s="278"/>
      <c r="T117" s="278"/>
      <c r="U117" s="278"/>
      <c r="V117" s="278"/>
    </row>
    <row r="118" spans="1:22" x14ac:dyDescent="0.3">
      <c r="A118" s="277"/>
      <c r="B118" s="278"/>
      <c r="C118" s="278"/>
      <c r="D118" s="278"/>
      <c r="E118" s="278"/>
      <c r="F118" s="278"/>
      <c r="G118" s="278"/>
      <c r="H118" s="278"/>
      <c r="I118" s="278"/>
      <c r="J118" s="278"/>
      <c r="K118" s="278"/>
      <c r="L118" s="278"/>
      <c r="M118" s="278"/>
      <c r="N118" s="278"/>
      <c r="O118" s="278"/>
      <c r="P118" s="278"/>
      <c r="Q118" s="278"/>
      <c r="R118" s="278"/>
      <c r="S118" s="278"/>
      <c r="T118" s="278"/>
      <c r="U118" s="278"/>
      <c r="V118" s="278"/>
    </row>
    <row r="119" spans="1:22" x14ac:dyDescent="0.3">
      <c r="A119" s="277"/>
      <c r="B119" s="278"/>
      <c r="C119" s="278"/>
      <c r="D119" s="278"/>
      <c r="E119" s="278"/>
      <c r="F119" s="278"/>
      <c r="G119" s="278"/>
      <c r="H119" s="278"/>
      <c r="I119" s="278"/>
      <c r="J119" s="278"/>
      <c r="K119" s="278"/>
      <c r="L119" s="278"/>
      <c r="M119" s="278"/>
      <c r="N119" s="278"/>
      <c r="O119" s="278"/>
      <c r="P119" s="278"/>
      <c r="Q119" s="278"/>
      <c r="R119" s="278"/>
      <c r="S119" s="278"/>
      <c r="T119" s="278"/>
      <c r="U119" s="278"/>
      <c r="V119" s="278"/>
    </row>
    <row r="120" spans="1:22" x14ac:dyDescent="0.3">
      <c r="A120" s="277"/>
      <c r="B120" s="278"/>
      <c r="C120" s="278"/>
      <c r="D120" s="278"/>
      <c r="E120" s="278"/>
      <c r="F120" s="278"/>
      <c r="G120" s="278"/>
      <c r="H120" s="278"/>
      <c r="I120" s="278"/>
      <c r="J120" s="278"/>
      <c r="K120" s="278"/>
      <c r="L120" s="278"/>
      <c r="M120" s="278"/>
      <c r="N120" s="278"/>
      <c r="O120" s="278"/>
      <c r="P120" s="278"/>
      <c r="Q120" s="278"/>
      <c r="R120" s="278"/>
      <c r="S120" s="278"/>
      <c r="T120" s="278"/>
      <c r="U120" s="278"/>
      <c r="V120" s="278"/>
    </row>
    <row r="121" spans="1:22" x14ac:dyDescent="0.3">
      <c r="A121" s="277"/>
      <c r="B121" s="278"/>
      <c r="C121" s="278"/>
      <c r="D121" s="278"/>
      <c r="E121" s="278"/>
      <c r="F121" s="278"/>
      <c r="G121" s="278"/>
      <c r="H121" s="278"/>
      <c r="I121" s="278"/>
      <c r="J121" s="278"/>
      <c r="K121" s="278"/>
      <c r="L121" s="278"/>
      <c r="M121" s="278"/>
      <c r="N121" s="278"/>
      <c r="O121" s="278"/>
      <c r="P121" s="278"/>
      <c r="Q121" s="278"/>
      <c r="R121" s="278"/>
      <c r="S121" s="278"/>
      <c r="T121" s="278"/>
      <c r="U121" s="278"/>
      <c r="V121" s="278"/>
    </row>
    <row r="122" spans="1:22" x14ac:dyDescent="0.3">
      <c r="A122" s="277"/>
      <c r="B122" s="278"/>
      <c r="C122" s="278"/>
      <c r="D122" s="278"/>
      <c r="E122" s="278"/>
      <c r="F122" s="278"/>
      <c r="G122" s="278"/>
      <c r="H122" s="278"/>
      <c r="I122" s="278"/>
      <c r="J122" s="278"/>
      <c r="K122" s="278"/>
      <c r="L122" s="278"/>
      <c r="M122" s="278"/>
      <c r="N122" s="278"/>
      <c r="O122" s="278"/>
      <c r="P122" s="278"/>
      <c r="Q122" s="278"/>
      <c r="R122" s="278"/>
      <c r="S122" s="278"/>
      <c r="T122" s="278"/>
      <c r="U122" s="278"/>
      <c r="V122" s="278"/>
    </row>
    <row r="123" spans="1:22" x14ac:dyDescent="0.3">
      <c r="A123" s="277"/>
      <c r="B123" s="278"/>
      <c r="C123" s="532" t="s">
        <v>60</v>
      </c>
      <c r="D123" s="532"/>
      <c r="E123" s="532"/>
      <c r="F123" s="532"/>
      <c r="G123" s="532"/>
      <c r="H123" s="532"/>
      <c r="I123" s="532"/>
      <c r="J123" s="532"/>
      <c r="K123" s="532"/>
      <c r="L123" s="532"/>
      <c r="M123" s="532"/>
      <c r="N123" s="532"/>
      <c r="O123" s="532"/>
      <c r="P123" s="532"/>
      <c r="Q123" s="532"/>
      <c r="R123" s="532"/>
      <c r="S123" s="532"/>
      <c r="T123" s="532"/>
      <c r="U123" s="532"/>
      <c r="V123" s="532"/>
    </row>
    <row r="124" spans="1:22" x14ac:dyDescent="0.3">
      <c r="A124" s="277"/>
      <c r="B124" s="278"/>
      <c r="C124" s="288"/>
      <c r="D124" s="283"/>
      <c r="E124" s="283"/>
      <c r="F124" s="283"/>
      <c r="G124" s="283"/>
      <c r="H124" s="283"/>
      <c r="I124" s="283"/>
      <c r="J124" s="283"/>
      <c r="K124" s="283"/>
      <c r="L124" s="285">
        <v>1</v>
      </c>
      <c r="M124" s="285">
        <v>2</v>
      </c>
      <c r="N124" s="285">
        <v>3</v>
      </c>
      <c r="O124" s="285">
        <v>4</v>
      </c>
      <c r="P124" s="285">
        <v>5</v>
      </c>
      <c r="Q124" s="285">
        <v>6</v>
      </c>
      <c r="R124" s="285">
        <v>7</v>
      </c>
      <c r="S124" s="285">
        <v>8</v>
      </c>
      <c r="T124" s="285">
        <v>9</v>
      </c>
      <c r="U124" s="285">
        <v>10</v>
      </c>
      <c r="V124" s="285">
        <v>11</v>
      </c>
    </row>
    <row r="125" spans="1:22" x14ac:dyDescent="0.3">
      <c r="A125" s="282"/>
      <c r="B125" s="289"/>
      <c r="C125" s="286"/>
      <c r="D125" s="286"/>
      <c r="E125" s="286"/>
      <c r="F125" s="286"/>
      <c r="G125" s="286"/>
      <c r="H125" s="286"/>
      <c r="I125" s="286"/>
      <c r="J125" s="286"/>
      <c r="K125" s="286"/>
      <c r="L125" s="286">
        <v>1956.0203225409132</v>
      </c>
      <c r="M125" s="286">
        <v>1937.0775739707433</v>
      </c>
      <c r="N125" s="286">
        <v>1921.1832672391752</v>
      </c>
      <c r="O125" s="286">
        <v>1909.9874462146777</v>
      </c>
      <c r="P125" s="286">
        <v>1904.8833408272983</v>
      </c>
      <c r="Q125" s="286">
        <v>1905.2926311593444</v>
      </c>
      <c r="R125" s="286">
        <v>1910.9664779590287</v>
      </c>
      <c r="S125" s="286">
        <v>1921.3266949845859</v>
      </c>
      <c r="T125" s="286">
        <v>1935.3641054433483</v>
      </c>
      <c r="U125" s="287">
        <f>2.5465*U124^2-28.048*U124+1982.1</f>
        <v>1956.27</v>
      </c>
      <c r="V125" s="287">
        <f>2.5465*V124^2-28.048*V124+1982.1</f>
        <v>1981.6985</v>
      </c>
    </row>
    <row r="126" spans="1:22" x14ac:dyDescent="0.3">
      <c r="A126" s="277"/>
      <c r="B126" s="278"/>
      <c r="C126" s="278"/>
      <c r="D126" s="278"/>
      <c r="E126" s="278"/>
      <c r="F126" s="278"/>
      <c r="G126" s="278"/>
      <c r="H126" s="278"/>
      <c r="I126" s="278"/>
      <c r="J126" s="278"/>
      <c r="K126" s="278"/>
      <c r="L126" s="278"/>
      <c r="M126" s="278"/>
      <c r="N126" s="278"/>
      <c r="O126" s="278"/>
      <c r="P126" s="278"/>
      <c r="Q126" s="278"/>
      <c r="R126" s="278"/>
      <c r="S126" s="278"/>
      <c r="T126" s="278"/>
      <c r="U126" s="278"/>
      <c r="V126" s="278"/>
    </row>
    <row r="127" spans="1:22" x14ac:dyDescent="0.3">
      <c r="A127" s="277"/>
      <c r="B127" s="278"/>
      <c r="C127" s="278"/>
      <c r="D127" s="278"/>
      <c r="E127" s="278"/>
      <c r="F127" s="278"/>
      <c r="G127" s="278"/>
      <c r="H127" s="278"/>
      <c r="I127" s="278"/>
      <c r="J127" s="278"/>
      <c r="K127" s="278"/>
      <c r="L127" s="278"/>
      <c r="M127" s="278"/>
      <c r="N127" s="278"/>
      <c r="O127" s="278"/>
      <c r="P127" s="278"/>
      <c r="Q127" s="278"/>
      <c r="R127" s="278"/>
      <c r="S127" s="278"/>
      <c r="T127" s="278"/>
      <c r="U127" s="278"/>
      <c r="V127" s="278"/>
    </row>
    <row r="128" spans="1:22" x14ac:dyDescent="0.3">
      <c r="A128" s="277"/>
      <c r="B128" s="278"/>
      <c r="C128" s="278"/>
      <c r="D128" s="278"/>
      <c r="E128" s="278"/>
      <c r="F128" s="278"/>
      <c r="G128" s="278"/>
      <c r="H128" s="278"/>
      <c r="I128" s="278"/>
      <c r="J128" s="278"/>
      <c r="K128" s="278"/>
      <c r="L128" s="278"/>
      <c r="M128" s="278"/>
      <c r="N128" s="278"/>
      <c r="O128" s="278"/>
      <c r="P128" s="278"/>
      <c r="Q128" s="278"/>
      <c r="R128" s="278"/>
      <c r="S128" s="278"/>
      <c r="T128" s="278"/>
      <c r="U128" s="278"/>
      <c r="V128" s="278"/>
    </row>
    <row r="129" spans="1:22" x14ac:dyDescent="0.3">
      <c r="A129" s="277"/>
      <c r="B129" s="278"/>
      <c r="C129" s="278"/>
      <c r="D129" s="278"/>
      <c r="E129" s="278"/>
      <c r="F129" s="278"/>
      <c r="G129" s="278"/>
      <c r="H129" s="278"/>
      <c r="I129" s="278"/>
      <c r="J129" s="278"/>
      <c r="K129" s="278"/>
      <c r="L129" s="278"/>
      <c r="M129" s="278"/>
      <c r="N129" s="278"/>
      <c r="O129" s="278"/>
      <c r="P129" s="278"/>
      <c r="Q129" s="278"/>
      <c r="R129" s="278"/>
      <c r="S129" s="278"/>
      <c r="T129" s="278"/>
      <c r="U129" s="278"/>
      <c r="V129" s="278"/>
    </row>
    <row r="130" spans="1:22" x14ac:dyDescent="0.3">
      <c r="A130" s="277"/>
      <c r="B130" s="278"/>
      <c r="C130" s="278"/>
      <c r="D130" s="278"/>
      <c r="E130" s="278"/>
      <c r="F130" s="278"/>
      <c r="G130" s="278"/>
      <c r="H130" s="278"/>
      <c r="I130" s="278"/>
      <c r="J130" s="278"/>
      <c r="K130" s="278"/>
      <c r="L130" s="278"/>
      <c r="M130" s="278"/>
      <c r="N130" s="278"/>
      <c r="O130" s="278"/>
      <c r="P130" s="278"/>
      <c r="Q130" s="278"/>
      <c r="R130" s="278"/>
      <c r="S130" s="278"/>
      <c r="T130" s="278"/>
      <c r="U130" s="278"/>
      <c r="V130" s="278"/>
    </row>
    <row r="131" spans="1:22" x14ac:dyDescent="0.3">
      <c r="A131" s="277"/>
      <c r="B131" s="278"/>
      <c r="C131" s="278"/>
      <c r="D131" s="278"/>
      <c r="E131" s="278"/>
      <c r="F131" s="278"/>
      <c r="G131" s="278"/>
      <c r="H131" s="278"/>
      <c r="I131" s="278"/>
      <c r="J131" s="278"/>
      <c r="K131" s="278"/>
      <c r="L131" s="278"/>
      <c r="M131" s="278"/>
      <c r="N131" s="278"/>
      <c r="O131" s="278"/>
      <c r="P131" s="278"/>
      <c r="Q131" s="278"/>
      <c r="R131" s="278"/>
      <c r="S131" s="278"/>
      <c r="T131" s="278"/>
      <c r="U131" s="278"/>
      <c r="V131" s="278"/>
    </row>
    <row r="132" spans="1:22" x14ac:dyDescent="0.3">
      <c r="A132" s="277"/>
      <c r="B132" s="278"/>
      <c r="C132" s="278"/>
      <c r="D132" s="278"/>
      <c r="E132" s="278"/>
      <c r="F132" s="278"/>
      <c r="G132" s="278"/>
      <c r="H132" s="278"/>
      <c r="I132" s="278"/>
      <c r="J132" s="278"/>
      <c r="K132" s="278"/>
      <c r="L132" s="278"/>
      <c r="M132" s="278"/>
      <c r="N132" s="278"/>
      <c r="O132" s="278"/>
      <c r="P132" s="278"/>
      <c r="Q132" s="278"/>
      <c r="R132" s="278"/>
      <c r="S132" s="278"/>
      <c r="T132" s="278"/>
      <c r="U132" s="278"/>
      <c r="V132" s="278"/>
    </row>
    <row r="133" spans="1:22" x14ac:dyDescent="0.3">
      <c r="A133" s="277"/>
      <c r="B133" s="278"/>
      <c r="C133" s="278"/>
      <c r="D133" s="278"/>
      <c r="E133" s="278"/>
      <c r="F133" s="278"/>
      <c r="G133" s="278"/>
      <c r="H133" s="278"/>
      <c r="I133" s="278"/>
      <c r="J133" s="278"/>
      <c r="K133" s="278"/>
      <c r="L133" s="278"/>
      <c r="M133" s="278"/>
      <c r="N133" s="278"/>
      <c r="O133" s="278"/>
      <c r="P133" s="278"/>
      <c r="Q133" s="278"/>
      <c r="R133" s="278"/>
      <c r="S133" s="278"/>
      <c r="T133" s="278"/>
      <c r="U133" s="278"/>
      <c r="V133" s="278"/>
    </row>
    <row r="134" spans="1:22" x14ac:dyDescent="0.3">
      <c r="A134" s="277"/>
      <c r="B134" s="278"/>
      <c r="C134" s="278"/>
      <c r="D134" s="278"/>
      <c r="E134" s="278"/>
      <c r="F134" s="278"/>
      <c r="G134" s="278"/>
      <c r="H134" s="278"/>
      <c r="I134" s="278"/>
      <c r="J134" s="278"/>
      <c r="K134" s="278"/>
      <c r="L134" s="278"/>
      <c r="M134" s="278"/>
      <c r="N134" s="278"/>
      <c r="O134" s="278"/>
      <c r="P134" s="278"/>
      <c r="Q134" s="278"/>
      <c r="R134" s="278"/>
      <c r="S134" s="278"/>
      <c r="T134" s="278"/>
      <c r="U134" s="278"/>
      <c r="V134" s="278"/>
    </row>
    <row r="135" spans="1:22" x14ac:dyDescent="0.3">
      <c r="A135" s="277"/>
      <c r="B135" s="278"/>
      <c r="C135" s="278"/>
      <c r="D135" s="278"/>
      <c r="E135" s="278"/>
      <c r="F135" s="278"/>
      <c r="G135" s="278"/>
      <c r="H135" s="278"/>
      <c r="I135" s="278"/>
      <c r="J135" s="278"/>
      <c r="K135" s="278"/>
      <c r="L135" s="278"/>
      <c r="M135" s="278"/>
      <c r="N135" s="278"/>
      <c r="O135" s="278"/>
      <c r="P135" s="278"/>
      <c r="Q135" s="278"/>
      <c r="R135" s="278"/>
      <c r="S135" s="278"/>
      <c r="T135" s="278"/>
      <c r="U135" s="278"/>
      <c r="V135" s="278"/>
    </row>
    <row r="136" spans="1:22" x14ac:dyDescent="0.3">
      <c r="A136" s="277"/>
      <c r="B136" s="278"/>
      <c r="C136" s="278"/>
      <c r="D136" s="278"/>
      <c r="E136" s="278"/>
      <c r="F136" s="278"/>
      <c r="G136" s="278"/>
      <c r="H136" s="278"/>
      <c r="I136" s="278"/>
      <c r="J136" s="278"/>
      <c r="K136" s="278"/>
      <c r="L136" s="278"/>
      <c r="M136" s="278"/>
      <c r="N136" s="278"/>
      <c r="O136" s="278"/>
      <c r="P136" s="278"/>
      <c r="Q136" s="278"/>
      <c r="R136" s="278"/>
      <c r="S136" s="278"/>
      <c r="T136" s="278"/>
      <c r="U136" s="278"/>
      <c r="V136" s="278"/>
    </row>
    <row r="137" spans="1:22" x14ac:dyDescent="0.3">
      <c r="A137" s="277"/>
      <c r="B137" s="278"/>
      <c r="C137" s="278"/>
      <c r="D137" s="278"/>
      <c r="E137" s="278"/>
      <c r="F137" s="278"/>
      <c r="G137" s="278"/>
      <c r="H137" s="278"/>
      <c r="I137" s="278"/>
      <c r="J137" s="278"/>
      <c r="K137" s="278"/>
      <c r="L137" s="278"/>
      <c r="M137" s="278"/>
      <c r="N137" s="278"/>
      <c r="O137" s="278"/>
      <c r="P137" s="278"/>
      <c r="Q137" s="278"/>
      <c r="R137" s="278"/>
      <c r="S137" s="278"/>
      <c r="T137" s="278"/>
      <c r="U137" s="278"/>
      <c r="V137" s="278"/>
    </row>
    <row r="138" spans="1:22" x14ac:dyDescent="0.3">
      <c r="A138" s="277"/>
      <c r="B138" s="278"/>
      <c r="C138" s="278"/>
      <c r="D138" s="278"/>
      <c r="E138" s="278"/>
      <c r="F138" s="278"/>
      <c r="G138" s="278"/>
      <c r="H138" s="278"/>
      <c r="I138" s="278"/>
      <c r="J138" s="278"/>
      <c r="K138" s="278"/>
      <c r="L138" s="278"/>
      <c r="M138" s="278"/>
      <c r="N138" s="278"/>
      <c r="O138" s="278"/>
      <c r="P138" s="278"/>
      <c r="Q138" s="278"/>
      <c r="R138" s="278"/>
      <c r="S138" s="278"/>
      <c r="T138" s="278"/>
      <c r="U138" s="278"/>
      <c r="V138" s="278"/>
    </row>
    <row r="139" spans="1:22" x14ac:dyDescent="0.3">
      <c r="A139" s="277"/>
      <c r="B139" s="278"/>
      <c r="C139" s="278"/>
      <c r="D139" s="278"/>
      <c r="E139" s="278"/>
      <c r="F139" s="278"/>
      <c r="G139" s="278"/>
      <c r="H139" s="278"/>
      <c r="I139" s="278"/>
      <c r="J139" s="278"/>
      <c r="K139" s="278"/>
      <c r="L139" s="278"/>
      <c r="M139" s="278"/>
      <c r="N139" s="278"/>
      <c r="O139" s="278"/>
      <c r="P139" s="278"/>
      <c r="Q139" s="278"/>
      <c r="R139" s="278"/>
      <c r="S139" s="278"/>
      <c r="T139" s="278"/>
      <c r="U139" s="278"/>
      <c r="V139" s="278"/>
    </row>
    <row r="140" spans="1:22" x14ac:dyDescent="0.3">
      <c r="A140" s="277"/>
      <c r="B140" s="278"/>
      <c r="C140" s="278"/>
      <c r="D140" s="278"/>
      <c r="E140" s="278"/>
      <c r="F140" s="278"/>
      <c r="G140" s="278"/>
      <c r="H140" s="278"/>
      <c r="I140" s="278"/>
      <c r="J140" s="278"/>
      <c r="K140" s="278"/>
      <c r="L140" s="278"/>
      <c r="M140" s="278"/>
      <c r="N140" s="278"/>
      <c r="O140" s="278"/>
      <c r="P140" s="278"/>
      <c r="Q140" s="278"/>
      <c r="R140" s="278"/>
      <c r="S140" s="278"/>
      <c r="T140" s="278"/>
      <c r="U140" s="278"/>
      <c r="V140" s="278"/>
    </row>
    <row r="141" spans="1:22" x14ac:dyDescent="0.3">
      <c r="A141" s="277"/>
      <c r="B141" s="278"/>
      <c r="C141" s="278"/>
      <c r="D141" s="278"/>
      <c r="E141" s="278"/>
      <c r="F141" s="278"/>
      <c r="G141" s="278"/>
      <c r="H141" s="278"/>
      <c r="I141" s="278"/>
      <c r="J141" s="278"/>
      <c r="K141" s="278"/>
      <c r="L141" s="278"/>
      <c r="M141" s="278"/>
      <c r="N141" s="278"/>
      <c r="O141" s="278"/>
      <c r="P141" s="278"/>
      <c r="Q141" s="278"/>
      <c r="R141" s="278"/>
      <c r="S141" s="278"/>
      <c r="T141" s="278"/>
      <c r="U141" s="278"/>
      <c r="V141" s="278"/>
    </row>
    <row r="142" spans="1:22" x14ac:dyDescent="0.3">
      <c r="A142" s="277"/>
      <c r="B142" s="278"/>
      <c r="C142" s="278"/>
      <c r="D142" s="278"/>
      <c r="E142" s="278"/>
      <c r="F142" s="278"/>
      <c r="G142" s="278"/>
      <c r="H142" s="278"/>
      <c r="I142" s="278"/>
      <c r="J142" s="278"/>
      <c r="K142" s="278"/>
      <c r="L142" s="278"/>
      <c r="M142" s="278"/>
      <c r="N142" s="278"/>
      <c r="O142" s="278"/>
      <c r="P142" s="278"/>
      <c r="Q142" s="278"/>
      <c r="R142" s="278"/>
      <c r="S142" s="278"/>
      <c r="T142" s="278"/>
      <c r="U142" s="278"/>
      <c r="V142" s="278"/>
    </row>
    <row r="143" spans="1:22" x14ac:dyDescent="0.3">
      <c r="A143" s="277"/>
      <c r="B143" s="278"/>
      <c r="C143" s="278"/>
      <c r="D143" s="278"/>
      <c r="E143" s="278"/>
      <c r="F143" s="278"/>
      <c r="G143" s="278"/>
      <c r="H143" s="278"/>
      <c r="I143" s="278"/>
      <c r="J143" s="278"/>
      <c r="K143" s="278"/>
      <c r="L143" s="278"/>
      <c r="M143" s="278"/>
      <c r="N143" s="278"/>
      <c r="O143" s="278"/>
      <c r="P143" s="278"/>
      <c r="Q143" s="278"/>
      <c r="R143" s="278"/>
      <c r="S143" s="278"/>
      <c r="T143" s="278"/>
      <c r="U143" s="278"/>
      <c r="V143" s="278"/>
    </row>
    <row r="144" spans="1:22" x14ac:dyDescent="0.3">
      <c r="A144" s="277"/>
      <c r="B144" s="278"/>
      <c r="C144" s="532" t="s">
        <v>6</v>
      </c>
      <c r="D144" s="532"/>
      <c r="E144" s="532"/>
      <c r="F144" s="532"/>
      <c r="G144" s="532"/>
      <c r="H144" s="532"/>
      <c r="I144" s="532"/>
      <c r="J144" s="532"/>
      <c r="K144" s="532"/>
      <c r="L144" s="532"/>
      <c r="M144" s="532"/>
      <c r="N144" s="532"/>
      <c r="O144" s="532"/>
      <c r="P144" s="532"/>
      <c r="Q144" s="532"/>
      <c r="R144" s="532"/>
      <c r="S144" s="532"/>
      <c r="T144" s="532"/>
      <c r="U144" s="532"/>
      <c r="V144" s="532"/>
    </row>
    <row r="145" spans="1:47" x14ac:dyDescent="0.3">
      <c r="A145" s="277"/>
      <c r="B145" s="278"/>
      <c r="C145" s="288"/>
      <c r="D145" s="283"/>
      <c r="E145" s="283"/>
      <c r="F145" s="283"/>
      <c r="G145" s="283"/>
      <c r="H145" s="283"/>
      <c r="I145" s="283"/>
      <c r="J145" s="283"/>
      <c r="K145" s="285">
        <v>2</v>
      </c>
      <c r="L145" s="285">
        <v>3</v>
      </c>
      <c r="M145" s="285">
        <v>4</v>
      </c>
      <c r="N145" s="285">
        <v>5</v>
      </c>
      <c r="O145" s="285">
        <v>6</v>
      </c>
      <c r="P145" s="285">
        <v>7</v>
      </c>
      <c r="Q145" s="285">
        <v>8</v>
      </c>
      <c r="R145" s="285">
        <v>9</v>
      </c>
      <c r="S145" s="285">
        <v>10</v>
      </c>
      <c r="T145" s="285">
        <v>11</v>
      </c>
      <c r="U145" s="285">
        <v>12</v>
      </c>
      <c r="V145" s="285">
        <v>13</v>
      </c>
    </row>
    <row r="146" spans="1:47" x14ac:dyDescent="0.3">
      <c r="A146" s="282"/>
      <c r="B146" s="289"/>
      <c r="C146" s="286"/>
      <c r="D146" s="286"/>
      <c r="E146" s="286"/>
      <c r="F146" s="286"/>
      <c r="G146" s="286"/>
      <c r="H146" s="286"/>
      <c r="I146" s="286"/>
      <c r="J146" s="286"/>
      <c r="K146" s="286">
        <v>315.64469754865024</v>
      </c>
      <c r="L146" s="286">
        <v>313.21866474427662</v>
      </c>
      <c r="M146" s="286">
        <v>311.11231082146759</v>
      </c>
      <c r="N146" s="286">
        <v>309.15006376969114</v>
      </c>
      <c r="O146" s="286">
        <v>307.37296946803474</v>
      </c>
      <c r="P146" s="286">
        <v>305.80572108583641</v>
      </c>
      <c r="Q146" s="286">
        <v>304.44708180641999</v>
      </c>
      <c r="R146" s="286">
        <v>303.29976036645917</v>
      </c>
      <c r="S146" s="286">
        <v>302.33094180246366</v>
      </c>
      <c r="T146" s="286">
        <v>301.50676249286323</v>
      </c>
      <c r="U146" s="287">
        <f>0.0988*U145^2-2.8495*U145+320.92</f>
        <v>300.95320000000004</v>
      </c>
      <c r="V146" s="287">
        <f>0.0988*V145^2-2.8495*V145+320.92</f>
        <v>300.57370000000003</v>
      </c>
    </row>
    <row r="147" spans="1:47" x14ac:dyDescent="0.3">
      <c r="A147" s="277"/>
      <c r="B147" s="278"/>
      <c r="C147" s="278"/>
      <c r="D147" s="278"/>
      <c r="E147" s="278"/>
      <c r="F147" s="278"/>
      <c r="G147" s="278"/>
      <c r="H147" s="278"/>
      <c r="I147" s="278"/>
      <c r="J147" s="278"/>
      <c r="K147" s="278"/>
      <c r="L147" s="278"/>
      <c r="M147" s="278"/>
      <c r="N147" s="278"/>
      <c r="O147" s="278"/>
      <c r="P147" s="278"/>
      <c r="Q147" s="278"/>
      <c r="R147" s="278"/>
      <c r="S147" s="278"/>
      <c r="T147" s="278"/>
      <c r="U147" s="278"/>
      <c r="V147" s="278"/>
    </row>
    <row r="148" spans="1:47" x14ac:dyDescent="0.3">
      <c r="A148" s="277"/>
      <c r="B148" s="278"/>
      <c r="C148" s="278"/>
      <c r="D148" s="278"/>
      <c r="E148" s="278"/>
      <c r="F148" s="278"/>
      <c r="G148" s="278"/>
      <c r="H148" s="278"/>
      <c r="I148" s="278"/>
      <c r="J148" s="278"/>
      <c r="K148" s="278"/>
      <c r="L148" s="278"/>
      <c r="M148" s="278"/>
      <c r="N148" s="278"/>
      <c r="O148" s="278"/>
      <c r="P148" s="278"/>
      <c r="Q148" s="278"/>
      <c r="R148" s="278"/>
      <c r="S148" s="278"/>
      <c r="T148" s="278"/>
      <c r="U148" s="278"/>
      <c r="V148" s="278"/>
    </row>
    <row r="149" spans="1:47" x14ac:dyDescent="0.3">
      <c r="A149" s="277"/>
      <c r="B149" s="278"/>
      <c r="C149" s="278"/>
      <c r="D149" s="278"/>
      <c r="E149" s="278"/>
      <c r="F149" s="278"/>
      <c r="G149" s="278"/>
      <c r="H149" s="278"/>
      <c r="I149" s="278"/>
      <c r="J149" s="278"/>
      <c r="K149" s="278"/>
      <c r="L149" s="278"/>
      <c r="M149" s="278"/>
      <c r="N149" s="278"/>
      <c r="O149" s="278"/>
      <c r="P149" s="278"/>
      <c r="Q149" s="278"/>
      <c r="R149" s="278"/>
      <c r="S149" s="278"/>
      <c r="T149" s="278"/>
      <c r="U149" s="278"/>
      <c r="V149" s="278"/>
    </row>
    <row r="150" spans="1:47" x14ac:dyDescent="0.3">
      <c r="A150" s="277"/>
      <c r="B150" s="278"/>
      <c r="C150" s="278"/>
      <c r="D150" s="278"/>
      <c r="E150" s="278"/>
      <c r="F150" s="278"/>
      <c r="G150" s="278"/>
      <c r="H150" s="278"/>
      <c r="I150" s="278"/>
      <c r="J150" s="278"/>
      <c r="K150" s="278"/>
      <c r="L150" s="278"/>
      <c r="M150" s="278"/>
      <c r="N150" s="278"/>
      <c r="O150" s="278"/>
      <c r="P150" s="278"/>
      <c r="Q150" s="278"/>
      <c r="R150" s="278"/>
      <c r="S150" s="278"/>
      <c r="T150" s="278"/>
      <c r="U150" s="278"/>
      <c r="V150" s="278"/>
    </row>
    <row r="151" spans="1:47" x14ac:dyDescent="0.3">
      <c r="A151" s="277"/>
      <c r="B151" s="278"/>
      <c r="C151" s="278"/>
      <c r="D151" s="278"/>
      <c r="E151" s="278"/>
      <c r="F151" s="278"/>
      <c r="G151" s="278"/>
      <c r="H151" s="278"/>
      <c r="I151" s="278"/>
      <c r="J151" s="278"/>
      <c r="K151" s="278"/>
      <c r="L151" s="278"/>
      <c r="M151" s="278"/>
      <c r="N151" s="278"/>
      <c r="O151" s="278"/>
      <c r="P151" s="278"/>
      <c r="Q151" s="278"/>
      <c r="R151" s="278"/>
      <c r="S151" s="278"/>
      <c r="T151" s="278"/>
      <c r="U151" s="278"/>
      <c r="V151" s="278"/>
    </row>
    <row r="152" spans="1:47" x14ac:dyDescent="0.3">
      <c r="A152" s="277"/>
      <c r="B152" s="278"/>
      <c r="C152" s="278"/>
      <c r="D152" s="278"/>
      <c r="E152" s="278"/>
      <c r="F152" s="278"/>
      <c r="G152" s="278"/>
      <c r="H152" s="278"/>
      <c r="I152" s="278"/>
      <c r="J152" s="278"/>
      <c r="K152" s="278"/>
      <c r="L152" s="278"/>
      <c r="M152" s="278"/>
      <c r="N152" s="278"/>
      <c r="O152" s="278"/>
      <c r="P152" s="278"/>
      <c r="Q152" s="278"/>
      <c r="R152" s="278"/>
      <c r="S152" s="278"/>
      <c r="T152" s="278"/>
      <c r="U152" s="278"/>
      <c r="V152" s="278"/>
    </row>
    <row r="153" spans="1:47" x14ac:dyDescent="0.3">
      <c r="A153" s="277"/>
      <c r="B153" s="278"/>
      <c r="C153" s="278"/>
      <c r="D153" s="278"/>
      <c r="E153" s="278"/>
      <c r="F153" s="278"/>
      <c r="G153" s="278"/>
      <c r="H153" s="278"/>
      <c r="I153" s="278"/>
      <c r="J153" s="278"/>
      <c r="K153" s="278"/>
      <c r="L153" s="278"/>
      <c r="M153" s="278"/>
      <c r="N153" s="278"/>
      <c r="O153" s="278"/>
      <c r="P153" s="278"/>
      <c r="Q153" s="278"/>
      <c r="R153" s="278"/>
      <c r="S153" s="278"/>
      <c r="T153" s="278"/>
      <c r="U153" s="278"/>
      <c r="V153" s="278"/>
    </row>
    <row r="154" spans="1:47" x14ac:dyDescent="0.3">
      <c r="A154" s="277"/>
      <c r="B154" s="278"/>
      <c r="C154" s="278"/>
      <c r="D154" s="278"/>
      <c r="E154" s="278"/>
      <c r="F154" s="278"/>
      <c r="G154" s="278"/>
      <c r="H154" s="278"/>
      <c r="I154" s="278"/>
      <c r="J154" s="278"/>
      <c r="K154" s="278"/>
      <c r="L154" s="278"/>
      <c r="M154" s="278"/>
      <c r="N154" s="278"/>
      <c r="O154" s="278"/>
      <c r="P154" s="278"/>
      <c r="Q154" s="278"/>
      <c r="R154" s="278"/>
      <c r="S154" s="278"/>
      <c r="T154" s="278"/>
      <c r="U154" s="278"/>
      <c r="V154" s="278"/>
    </row>
    <row r="155" spans="1:47" x14ac:dyDescent="0.3">
      <c r="A155" s="277"/>
      <c r="B155" s="278"/>
      <c r="C155" s="278"/>
      <c r="D155" s="278"/>
      <c r="E155" s="278"/>
      <c r="F155" s="278"/>
      <c r="G155" s="278"/>
      <c r="H155" s="278"/>
      <c r="I155" s="278"/>
      <c r="J155" s="278"/>
      <c r="K155" s="278"/>
      <c r="L155" s="278"/>
      <c r="M155" s="278"/>
      <c r="N155" s="278"/>
      <c r="O155" s="278"/>
      <c r="P155" s="278"/>
      <c r="Q155" s="278"/>
      <c r="R155" s="278"/>
      <c r="S155" s="278"/>
      <c r="T155" s="278"/>
      <c r="U155" s="278"/>
      <c r="V155" s="278"/>
    </row>
    <row r="156" spans="1:47" x14ac:dyDescent="0.3">
      <c r="A156" s="277"/>
      <c r="B156" s="278"/>
      <c r="C156" s="278"/>
      <c r="D156" s="278"/>
      <c r="E156" s="278"/>
      <c r="F156" s="278"/>
      <c r="G156" s="278"/>
      <c r="H156" s="278"/>
      <c r="I156" s="278"/>
      <c r="J156" s="278"/>
      <c r="K156" s="278"/>
      <c r="L156" s="278"/>
      <c r="M156" s="278"/>
      <c r="N156" s="278"/>
      <c r="O156" s="278"/>
      <c r="P156" s="278"/>
      <c r="Q156" s="278"/>
      <c r="R156" s="278"/>
      <c r="S156" s="278"/>
      <c r="T156" s="278"/>
      <c r="U156" s="278"/>
      <c r="V156" s="278"/>
    </row>
    <row r="157" spans="1:47" x14ac:dyDescent="0.3">
      <c r="A157" s="277"/>
      <c r="B157" s="278"/>
      <c r="C157" s="278"/>
      <c r="D157" s="278"/>
      <c r="E157" s="278"/>
      <c r="F157" s="278"/>
      <c r="G157" s="278"/>
      <c r="H157" s="278"/>
      <c r="I157" s="278"/>
      <c r="J157" s="278"/>
      <c r="K157" s="278"/>
      <c r="L157" s="278"/>
      <c r="M157" s="278"/>
      <c r="N157" s="278"/>
      <c r="O157" s="278"/>
      <c r="P157" s="278"/>
      <c r="Q157" s="278"/>
      <c r="R157" s="278"/>
      <c r="S157" s="278"/>
      <c r="T157" s="278"/>
      <c r="U157" s="278"/>
      <c r="V157" s="278"/>
    </row>
    <row r="158" spans="1:47" ht="15" thickBot="1" x14ac:dyDescent="0.35">
      <c r="A158" s="277"/>
      <c r="B158" s="278"/>
      <c r="C158" s="278"/>
      <c r="D158" s="278"/>
      <c r="E158" s="278"/>
      <c r="F158" s="278"/>
      <c r="G158" s="278"/>
      <c r="H158" s="278"/>
      <c r="I158" s="278"/>
      <c r="J158" s="278"/>
      <c r="K158" s="278"/>
      <c r="L158" s="278"/>
      <c r="M158" s="278"/>
      <c r="N158" s="278"/>
      <c r="O158" s="278"/>
      <c r="P158" s="278"/>
      <c r="Q158" s="278"/>
      <c r="R158" s="278"/>
      <c r="S158" s="278"/>
      <c r="T158" s="278"/>
      <c r="U158" s="278"/>
      <c r="V158" s="278"/>
    </row>
    <row r="159" spans="1:47" x14ac:dyDescent="0.3">
      <c r="A159" s="277"/>
      <c r="B159" s="278"/>
      <c r="C159" s="278"/>
      <c r="D159" s="278"/>
      <c r="E159" s="278"/>
      <c r="F159" s="278"/>
      <c r="G159" s="278"/>
      <c r="H159" s="278"/>
      <c r="I159" s="278"/>
      <c r="J159" s="278"/>
      <c r="K159" s="278"/>
      <c r="L159" s="278"/>
      <c r="M159" s="278"/>
      <c r="N159" s="278"/>
      <c r="O159" s="278"/>
      <c r="P159" s="278"/>
      <c r="Q159" s="278"/>
      <c r="R159" s="278"/>
      <c r="S159" s="278"/>
      <c r="T159" s="278"/>
      <c r="U159" s="278"/>
      <c r="V159" s="278"/>
      <c r="Y159" s="220"/>
      <c r="Z159" s="221"/>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2"/>
    </row>
    <row r="160" spans="1:47" x14ac:dyDescent="0.3">
      <c r="A160" s="277"/>
      <c r="B160" s="278"/>
      <c r="C160" s="278"/>
      <c r="D160" s="278"/>
      <c r="E160" s="278"/>
      <c r="F160" s="278"/>
      <c r="G160" s="278"/>
      <c r="H160" s="278"/>
      <c r="I160" s="278"/>
      <c r="J160" s="278"/>
      <c r="K160" s="278"/>
      <c r="L160" s="278"/>
      <c r="M160" s="278"/>
      <c r="N160" s="278"/>
      <c r="O160" s="278"/>
      <c r="P160" s="278"/>
      <c r="Q160" s="278"/>
      <c r="R160" s="278"/>
      <c r="S160" s="278"/>
      <c r="T160" s="278"/>
      <c r="U160" s="278"/>
      <c r="V160" s="278"/>
      <c r="Y160" s="223"/>
      <c r="Z160" s="224"/>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row>
    <row r="161" spans="1:50" x14ac:dyDescent="0.3">
      <c r="A161" s="277"/>
      <c r="B161" s="278"/>
      <c r="C161" s="278"/>
      <c r="D161" s="278"/>
      <c r="E161" s="278"/>
      <c r="F161" s="278"/>
      <c r="G161" s="278"/>
      <c r="H161" s="278"/>
      <c r="I161" s="278"/>
      <c r="J161" s="278"/>
      <c r="K161" s="278"/>
      <c r="L161" s="278"/>
      <c r="M161" s="278"/>
      <c r="N161" s="278"/>
      <c r="O161" s="278"/>
      <c r="P161" s="278"/>
      <c r="Q161" s="278"/>
      <c r="R161" s="278"/>
      <c r="S161" s="278"/>
      <c r="T161" s="278"/>
      <c r="U161" s="278"/>
      <c r="V161" s="278"/>
      <c r="Y161" s="223"/>
      <c r="Z161" s="224"/>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row>
    <row r="162" spans="1:50" x14ac:dyDescent="0.3">
      <c r="A162" s="277"/>
      <c r="B162" s="278"/>
      <c r="C162" s="278"/>
      <c r="D162" s="278"/>
      <c r="E162" s="278"/>
      <c r="F162" s="278"/>
      <c r="G162" s="278"/>
      <c r="H162" s="278"/>
      <c r="I162" s="278"/>
      <c r="J162" s="278"/>
      <c r="K162" s="278"/>
      <c r="L162" s="278"/>
      <c r="M162" s="278"/>
      <c r="N162" s="278"/>
      <c r="O162" s="278"/>
      <c r="P162" s="278"/>
      <c r="Q162" s="278"/>
      <c r="R162" s="278"/>
      <c r="S162" s="278"/>
      <c r="T162" s="278"/>
      <c r="U162" s="278"/>
      <c r="V162" s="278"/>
      <c r="Y162" s="223"/>
      <c r="Z162" s="224"/>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row>
    <row r="163" spans="1:50" x14ac:dyDescent="0.3">
      <c r="A163" s="277"/>
      <c r="B163" s="278"/>
      <c r="C163" s="278"/>
      <c r="D163" s="278"/>
      <c r="E163" s="278"/>
      <c r="F163" s="278"/>
      <c r="G163" s="278"/>
      <c r="H163" s="278"/>
      <c r="I163" s="278"/>
      <c r="J163" s="278"/>
      <c r="K163" s="278"/>
      <c r="L163" s="278"/>
      <c r="M163" s="278"/>
      <c r="N163" s="278"/>
      <c r="O163" s="278"/>
      <c r="P163" s="278"/>
      <c r="Q163" s="278"/>
      <c r="R163" s="278"/>
      <c r="S163" s="278"/>
      <c r="T163" s="278"/>
      <c r="U163" s="278"/>
      <c r="V163" s="278"/>
      <c r="Y163" s="223"/>
      <c r="Z163" s="224"/>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row>
    <row r="164" spans="1:50" x14ac:dyDescent="0.3">
      <c r="A164" s="277"/>
      <c r="B164" s="278"/>
      <c r="C164" s="278"/>
      <c r="D164" s="278"/>
      <c r="E164" s="278"/>
      <c r="F164" s="278"/>
      <c r="G164" s="533" t="s">
        <v>8</v>
      </c>
      <c r="H164" s="533"/>
      <c r="I164" s="533"/>
      <c r="J164" s="533"/>
      <c r="K164" s="533"/>
      <c r="L164" s="533"/>
      <c r="M164" s="533"/>
      <c r="N164" s="533"/>
      <c r="O164" s="533"/>
      <c r="P164" s="533"/>
      <c r="Q164" s="533"/>
      <c r="R164" s="533"/>
      <c r="S164" s="278"/>
      <c r="T164" s="278"/>
      <c r="U164" s="278"/>
      <c r="V164" s="278"/>
      <c r="Y164" s="223"/>
      <c r="Z164" s="224"/>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row>
    <row r="165" spans="1:50" ht="15" thickBot="1" x14ac:dyDescent="0.35">
      <c r="A165" s="277"/>
      <c r="B165" s="278"/>
      <c r="C165" s="283"/>
      <c r="D165" s="283"/>
      <c r="E165" s="283"/>
      <c r="F165" s="283"/>
      <c r="G165" s="283"/>
      <c r="H165" s="283"/>
      <c r="I165" s="283"/>
      <c r="J165" s="283"/>
      <c r="K165" s="285">
        <v>10</v>
      </c>
      <c r="L165" s="285">
        <v>11</v>
      </c>
      <c r="M165" s="285">
        <v>12</v>
      </c>
      <c r="N165" s="285">
        <v>13</v>
      </c>
      <c r="O165" s="285">
        <v>14</v>
      </c>
      <c r="P165" s="285">
        <v>15</v>
      </c>
      <c r="Q165" s="285">
        <v>16</v>
      </c>
      <c r="R165" s="285">
        <v>17</v>
      </c>
      <c r="S165" s="285">
        <v>18</v>
      </c>
      <c r="T165" s="285">
        <v>19</v>
      </c>
      <c r="U165" s="285">
        <v>20</v>
      </c>
      <c r="V165" s="285">
        <v>21</v>
      </c>
      <c r="Y165" s="223"/>
      <c r="Z165" s="226"/>
      <c r="AA165" s="227"/>
      <c r="AB165" s="227"/>
      <c r="AC165" s="227"/>
      <c r="AD165" s="227"/>
      <c r="AE165" s="227"/>
      <c r="AF165" s="227"/>
      <c r="AG165" s="227"/>
      <c r="AH165" s="227"/>
      <c r="AI165" s="227"/>
      <c r="AJ165" s="227"/>
      <c r="AK165" s="227"/>
      <c r="AL165" s="227"/>
      <c r="AM165" s="227"/>
      <c r="AN165" s="227"/>
      <c r="AO165" s="227"/>
      <c r="AP165" s="227"/>
      <c r="AQ165" s="227"/>
      <c r="AR165" s="227"/>
      <c r="AS165" s="227"/>
      <c r="AT165" s="227"/>
      <c r="AU165" s="227"/>
    </row>
    <row r="166" spans="1:50" ht="15" thickBot="1" x14ac:dyDescent="0.35">
      <c r="A166" s="282"/>
      <c r="B166" s="280"/>
      <c r="C166" s="284"/>
      <c r="D166" s="284"/>
      <c r="E166" s="284"/>
      <c r="F166" s="284"/>
      <c r="G166" s="284"/>
      <c r="H166" s="284"/>
      <c r="I166" s="284"/>
      <c r="J166" s="284"/>
      <c r="K166" s="284">
        <v>61.986393767320457</v>
      </c>
      <c r="L166" s="284">
        <v>61.509968768350987</v>
      </c>
      <c r="M166" s="284">
        <v>61.096322397331384</v>
      </c>
      <c r="N166" s="284">
        <v>60.710975773849981</v>
      </c>
      <c r="O166" s="284">
        <v>60.361989499093511</v>
      </c>
      <c r="P166" s="284">
        <v>60.054212824545786</v>
      </c>
      <c r="Q166" s="284">
        <v>59.787402863802903</v>
      </c>
      <c r="R166" s="284">
        <v>59.56209155932855</v>
      </c>
      <c r="S166" s="284">
        <v>59.371834699437358</v>
      </c>
      <c r="T166" s="284">
        <v>59.209982136677624</v>
      </c>
      <c r="U166" s="287">
        <f>0.0194*U165^2-0.8701*U165+68.741</f>
        <v>59.098999999999997</v>
      </c>
      <c r="V166" s="287">
        <f>0.0194*V165^2-0.8701*V165+68.741</f>
        <v>59.024300000000004</v>
      </c>
    </row>
    <row r="167" spans="1:50" x14ac:dyDescent="0.3">
      <c r="A167" s="277"/>
      <c r="B167" s="278"/>
      <c r="C167" s="278"/>
      <c r="D167" s="278"/>
      <c r="E167" s="278"/>
      <c r="F167" s="278"/>
      <c r="G167" s="278"/>
      <c r="H167" s="278"/>
      <c r="I167" s="278"/>
      <c r="J167" s="278"/>
      <c r="K167" s="278"/>
      <c r="L167" s="278"/>
      <c r="M167" s="278"/>
      <c r="N167" s="278"/>
      <c r="O167" s="278"/>
      <c r="P167" s="278"/>
      <c r="Q167" s="278"/>
      <c r="R167" s="278"/>
      <c r="S167" s="278"/>
      <c r="T167" s="278"/>
      <c r="U167" s="278"/>
      <c r="V167" s="278"/>
      <c r="Y167" s="220"/>
      <c r="Z167" s="221"/>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2"/>
    </row>
    <row r="168" spans="1:50" x14ac:dyDescent="0.3">
      <c r="A168" s="277"/>
      <c r="B168" s="278"/>
      <c r="C168" s="278"/>
      <c r="D168" s="278"/>
      <c r="E168" s="278"/>
      <c r="F168" s="278"/>
      <c r="G168" s="278"/>
      <c r="H168" s="278"/>
      <c r="I168" s="278"/>
      <c r="J168" s="278"/>
      <c r="K168" s="278"/>
      <c r="L168" s="278"/>
      <c r="M168" s="278"/>
      <c r="N168" s="278"/>
      <c r="O168" s="278"/>
      <c r="P168" s="278"/>
      <c r="Q168" s="278"/>
      <c r="R168" s="278"/>
      <c r="S168" s="278"/>
      <c r="T168" s="278"/>
      <c r="U168" s="278"/>
      <c r="V168" s="278"/>
      <c r="Y168" s="223"/>
      <c r="Z168" s="224"/>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row>
    <row r="169" spans="1:50" x14ac:dyDescent="0.3">
      <c r="A169" s="277"/>
      <c r="B169" s="278"/>
      <c r="C169" s="278"/>
      <c r="D169" s="278"/>
      <c r="E169" s="278"/>
      <c r="F169" s="278"/>
      <c r="G169" s="278"/>
      <c r="H169" s="278"/>
      <c r="I169" s="278"/>
      <c r="J169" s="278"/>
      <c r="K169" s="278"/>
      <c r="L169" s="278"/>
      <c r="M169" s="278"/>
      <c r="N169" s="278"/>
      <c r="O169" s="278"/>
      <c r="P169" s="278"/>
      <c r="Q169" s="278"/>
      <c r="R169" s="278"/>
      <c r="S169" s="278"/>
      <c r="T169" s="278"/>
      <c r="U169" s="278"/>
      <c r="V169" s="278"/>
      <c r="Y169" s="223"/>
      <c r="Z169" s="224"/>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row>
    <row r="170" spans="1:50" x14ac:dyDescent="0.3">
      <c r="A170" s="277"/>
      <c r="B170" s="278"/>
      <c r="C170" s="278"/>
      <c r="D170" s="278"/>
      <c r="E170" s="278"/>
      <c r="F170" s="278"/>
      <c r="G170" s="278"/>
      <c r="H170" s="278"/>
      <c r="I170" s="278"/>
      <c r="J170" s="278"/>
      <c r="K170" s="278"/>
      <c r="L170" s="278"/>
      <c r="M170" s="278"/>
      <c r="N170" s="278"/>
      <c r="O170" s="278"/>
      <c r="P170" s="278"/>
      <c r="Q170" s="278"/>
      <c r="R170" s="278"/>
      <c r="S170" s="278"/>
      <c r="T170" s="278"/>
      <c r="U170" s="278"/>
      <c r="V170" s="278"/>
      <c r="Y170" s="223"/>
      <c r="Z170" s="224"/>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row>
    <row r="171" spans="1:50" x14ac:dyDescent="0.3">
      <c r="A171" s="277"/>
      <c r="B171" s="278"/>
      <c r="C171" s="278"/>
      <c r="D171" s="278"/>
      <c r="E171" s="278"/>
      <c r="F171" s="278"/>
      <c r="G171" s="278"/>
      <c r="H171" s="278"/>
      <c r="I171" s="278"/>
      <c r="J171" s="278"/>
      <c r="K171" s="278"/>
      <c r="L171" s="278"/>
      <c r="M171" s="278"/>
      <c r="N171" s="278"/>
      <c r="O171" s="278"/>
      <c r="P171" s="278"/>
      <c r="Q171" s="278"/>
      <c r="R171" s="278"/>
      <c r="S171" s="278"/>
      <c r="T171" s="278"/>
      <c r="U171" s="278"/>
      <c r="V171" s="278"/>
      <c r="Y171" s="223"/>
      <c r="Z171" s="224"/>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row>
    <row r="172" spans="1:50" x14ac:dyDescent="0.3">
      <c r="A172" s="277"/>
      <c r="B172" s="278"/>
      <c r="C172" s="278"/>
      <c r="D172" s="278"/>
      <c r="E172" s="278"/>
      <c r="F172" s="278"/>
      <c r="G172" s="278"/>
      <c r="H172" s="278"/>
      <c r="I172" s="278"/>
      <c r="J172" s="278"/>
      <c r="K172" s="278"/>
      <c r="L172" s="278"/>
      <c r="M172" s="278"/>
      <c r="N172" s="278"/>
      <c r="O172" s="278"/>
      <c r="P172" s="278"/>
      <c r="Q172" s="278"/>
      <c r="R172" s="278"/>
      <c r="S172" s="278"/>
      <c r="T172" s="278"/>
      <c r="U172" s="278"/>
      <c r="V172" s="278"/>
      <c r="Y172" s="223"/>
      <c r="Z172" s="224"/>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row>
    <row r="173" spans="1:50" ht="15" thickBot="1" x14ac:dyDescent="0.35">
      <c r="A173" s="277"/>
      <c r="B173" s="278"/>
      <c r="C173" s="278"/>
      <c r="D173" s="278"/>
      <c r="E173" s="278"/>
      <c r="F173" s="278"/>
      <c r="G173" s="278"/>
      <c r="H173" s="278"/>
      <c r="I173" s="278"/>
      <c r="J173" s="278"/>
      <c r="K173" s="278"/>
      <c r="L173" s="278"/>
      <c r="M173" s="278"/>
      <c r="N173" s="278"/>
      <c r="O173" s="278"/>
      <c r="P173" s="278"/>
      <c r="Q173" s="278"/>
      <c r="R173" s="278"/>
      <c r="S173" s="278"/>
      <c r="T173" s="278"/>
      <c r="U173" s="278"/>
      <c r="V173" s="278"/>
      <c r="Y173" s="223"/>
      <c r="Z173" s="226"/>
      <c r="AA173" s="227"/>
      <c r="AB173" s="227"/>
      <c r="AC173" s="224"/>
      <c r="AD173" s="225"/>
      <c r="AE173" s="225"/>
      <c r="AF173" s="225"/>
      <c r="AG173" s="225"/>
      <c r="AH173" s="225"/>
      <c r="AI173" s="225"/>
      <c r="AJ173" s="225"/>
      <c r="AK173" s="225"/>
      <c r="AL173" s="225"/>
      <c r="AM173" s="225"/>
      <c r="AN173" s="225"/>
      <c r="AO173" s="225"/>
      <c r="AP173" s="225"/>
      <c r="AQ173" s="225"/>
      <c r="AR173" s="225"/>
      <c r="AS173" s="225"/>
      <c r="AT173" s="227"/>
      <c r="AU173" s="227"/>
    </row>
    <row r="174" spans="1:50" x14ac:dyDescent="0.3">
      <c r="A174" s="277"/>
      <c r="B174" s="278"/>
      <c r="C174" s="278"/>
      <c r="D174" s="278"/>
      <c r="E174" s="278"/>
      <c r="F174" s="278"/>
      <c r="G174" s="278"/>
      <c r="H174" s="278"/>
      <c r="I174" s="278"/>
      <c r="J174" s="278"/>
      <c r="K174" s="278"/>
      <c r="L174" s="278"/>
      <c r="M174" s="278"/>
      <c r="N174" s="278"/>
      <c r="O174" s="278"/>
      <c r="P174" s="278"/>
      <c r="Q174" s="278"/>
      <c r="R174" s="278"/>
      <c r="S174" s="278"/>
      <c r="T174" s="278"/>
      <c r="U174" s="278"/>
      <c r="V174" s="278"/>
      <c r="Y174" s="219"/>
      <c r="Z174" s="219"/>
      <c r="AA174" s="219"/>
      <c r="AB174" s="219"/>
      <c r="AC174" s="219"/>
      <c r="AD174" s="219"/>
      <c r="AE174" s="219"/>
      <c r="AF174" s="219"/>
      <c r="AG174" s="219"/>
      <c r="AH174" s="219"/>
      <c r="AI174" s="219"/>
      <c r="AJ174" s="219"/>
      <c r="AK174" s="219"/>
      <c r="AL174" s="219"/>
      <c r="AM174" s="219"/>
      <c r="AN174" s="219"/>
      <c r="AO174" s="219"/>
      <c r="AP174" s="219"/>
      <c r="AQ174" s="219"/>
      <c r="AR174" s="219"/>
      <c r="AS174" s="219"/>
      <c r="AT174" s="219"/>
      <c r="AU174" s="219"/>
      <c r="AX174" s="346"/>
    </row>
    <row r="175" spans="1:50" ht="15" thickBot="1" x14ac:dyDescent="0.35">
      <c r="A175" s="277"/>
      <c r="B175" s="278"/>
      <c r="C175" s="278"/>
      <c r="D175" s="278"/>
      <c r="E175" s="278"/>
      <c r="F175" s="278"/>
      <c r="G175" s="278"/>
      <c r="H175" s="278"/>
      <c r="I175" s="278"/>
      <c r="J175" s="278"/>
      <c r="K175" s="278"/>
      <c r="L175" s="278"/>
      <c r="M175" s="278"/>
      <c r="N175" s="278"/>
      <c r="O175" s="278"/>
      <c r="P175" s="278"/>
      <c r="Q175" s="278"/>
      <c r="R175" s="278"/>
      <c r="S175" s="278"/>
      <c r="T175" s="278"/>
      <c r="U175" s="278"/>
      <c r="V175" s="278"/>
      <c r="Y175" s="219"/>
      <c r="Z175" s="219"/>
      <c r="AA175" s="219"/>
      <c r="AB175" s="219"/>
      <c r="AC175" s="219"/>
      <c r="AD175" s="219"/>
      <c r="AE175" s="219"/>
      <c r="AF175" s="219"/>
      <c r="AG175" s="219"/>
      <c r="AH175" s="219" t="s">
        <v>106</v>
      </c>
      <c r="AI175" s="219"/>
      <c r="AJ175" s="219"/>
      <c r="AK175" s="219"/>
      <c r="AL175" s="219"/>
      <c r="AM175" s="219"/>
      <c r="AN175" s="219"/>
      <c r="AO175" s="219"/>
      <c r="AP175" s="219"/>
      <c r="AQ175" s="219"/>
      <c r="AR175" s="219"/>
      <c r="AS175" s="219"/>
      <c r="AT175" s="219"/>
      <c r="AU175" s="219"/>
      <c r="AX175" s="347"/>
    </row>
    <row r="176" spans="1:50" x14ac:dyDescent="0.3">
      <c r="A176" s="277"/>
      <c r="B176" s="278"/>
      <c r="C176" s="278"/>
      <c r="D176" s="278"/>
      <c r="E176" s="278"/>
      <c r="F176" s="278"/>
      <c r="G176" s="278"/>
      <c r="H176" s="278"/>
      <c r="I176" s="278"/>
      <c r="J176" s="278"/>
      <c r="K176" s="278"/>
      <c r="L176" s="278"/>
      <c r="M176" s="278"/>
      <c r="N176" s="278"/>
      <c r="O176" s="278"/>
      <c r="P176" s="278"/>
      <c r="Q176" s="278"/>
      <c r="R176" s="278"/>
      <c r="S176" s="278"/>
      <c r="T176" s="278"/>
      <c r="U176" s="278"/>
      <c r="V176" s="278"/>
      <c r="Y176" s="220" t="s">
        <v>15</v>
      </c>
      <c r="Z176" s="221"/>
      <c r="AA176" s="221">
        <v>2020</v>
      </c>
      <c r="AB176" s="221">
        <v>2021</v>
      </c>
      <c r="AC176" s="221">
        <v>2022</v>
      </c>
      <c r="AD176" s="221">
        <v>2023</v>
      </c>
      <c r="AE176" s="221">
        <v>2024</v>
      </c>
      <c r="AF176" s="221">
        <v>2025</v>
      </c>
      <c r="AG176" s="221">
        <v>2026</v>
      </c>
      <c r="AH176" s="221">
        <v>2027</v>
      </c>
      <c r="AI176" s="221">
        <v>2028</v>
      </c>
      <c r="AJ176" s="221">
        <v>2029</v>
      </c>
      <c r="AK176" s="221">
        <v>2030</v>
      </c>
      <c r="AL176" s="221">
        <v>2031</v>
      </c>
      <c r="AM176" s="221">
        <v>2032</v>
      </c>
      <c r="AN176" s="221">
        <v>2033</v>
      </c>
      <c r="AO176" s="221">
        <v>2034</v>
      </c>
      <c r="AP176" s="221">
        <v>2035</v>
      </c>
      <c r="AQ176" s="221">
        <v>2036</v>
      </c>
      <c r="AR176" s="221">
        <v>2037</v>
      </c>
      <c r="AS176" s="221">
        <v>2038</v>
      </c>
      <c r="AT176" s="221">
        <v>2039</v>
      </c>
      <c r="AU176" s="222">
        <v>2040</v>
      </c>
      <c r="AX176" s="347"/>
    </row>
    <row r="177" spans="1:50" x14ac:dyDescent="0.3">
      <c r="A177" s="277"/>
      <c r="B177" s="278"/>
      <c r="C177" s="278"/>
      <c r="D177" s="278"/>
      <c r="E177" s="278"/>
      <c r="F177" s="278"/>
      <c r="G177" s="278"/>
      <c r="H177" s="278"/>
      <c r="I177" s="278"/>
      <c r="J177" s="278"/>
      <c r="K177" s="278"/>
      <c r="L177" s="278"/>
      <c r="M177" s="278"/>
      <c r="N177" s="278"/>
      <c r="O177" s="278"/>
      <c r="P177" s="278"/>
      <c r="Q177" s="278"/>
      <c r="R177" s="278"/>
      <c r="S177" s="278"/>
      <c r="T177" s="278"/>
      <c r="U177" s="278"/>
      <c r="V177" s="278"/>
      <c r="Y177" s="223"/>
      <c r="Z177" s="224" t="s">
        <v>0</v>
      </c>
      <c r="AA177" s="225">
        <v>5226</v>
      </c>
      <c r="AB177" s="225">
        <v>5145</v>
      </c>
      <c r="AC177" s="225">
        <v>5070</v>
      </c>
      <c r="AD177" s="225">
        <v>4992</v>
      </c>
      <c r="AE177" s="225">
        <v>4910</v>
      </c>
      <c r="AF177" s="225">
        <v>4821</v>
      </c>
      <c r="AG177" s="225">
        <v>4724</v>
      </c>
      <c r="AH177" s="225">
        <v>4612</v>
      </c>
      <c r="AI177" s="225">
        <v>4491</v>
      </c>
      <c r="AJ177" s="225">
        <v>4343</v>
      </c>
      <c r="AK177" s="225">
        <v>4203</v>
      </c>
      <c r="AL177" s="225">
        <v>4068</v>
      </c>
      <c r="AM177" s="225">
        <v>3935</v>
      </c>
      <c r="AN177" s="225">
        <v>3805</v>
      </c>
      <c r="AO177" s="225">
        <v>3678</v>
      </c>
      <c r="AP177" s="225">
        <v>3605</v>
      </c>
      <c r="AQ177" s="225">
        <v>3536</v>
      </c>
      <c r="AR177" s="225">
        <v>3469</v>
      </c>
      <c r="AS177" s="225">
        <v>3406</v>
      </c>
      <c r="AT177" s="225">
        <v>3246.4166666666702</v>
      </c>
      <c r="AU177" s="225">
        <v>3146.7</v>
      </c>
      <c r="AX177" s="347"/>
    </row>
    <row r="178" spans="1:50" x14ac:dyDescent="0.3">
      <c r="A178" s="277"/>
      <c r="B178" s="278"/>
      <c r="C178" s="278"/>
      <c r="D178" s="278"/>
      <c r="E178" s="278"/>
      <c r="F178" s="278"/>
      <c r="G178" s="278"/>
      <c r="H178" s="278"/>
      <c r="I178" s="278"/>
      <c r="J178" s="278"/>
      <c r="K178" s="278"/>
      <c r="L178" s="278"/>
      <c r="M178" s="278"/>
      <c r="N178" s="278"/>
      <c r="O178" s="278"/>
      <c r="P178" s="278"/>
      <c r="Q178" s="278"/>
      <c r="R178" s="278"/>
      <c r="S178" s="278"/>
      <c r="T178" s="278"/>
      <c r="U178" s="278"/>
      <c r="V178" s="278"/>
      <c r="Y178" s="223"/>
      <c r="Z178" s="224" t="s">
        <v>1</v>
      </c>
      <c r="AA178" s="225">
        <v>7760</v>
      </c>
      <c r="AB178" s="225">
        <v>7541</v>
      </c>
      <c r="AC178" s="225">
        <v>7322</v>
      </c>
      <c r="AD178" s="225">
        <v>7103</v>
      </c>
      <c r="AE178" s="225">
        <v>6887</v>
      </c>
      <c r="AF178" s="225">
        <v>6672</v>
      </c>
      <c r="AG178" s="225">
        <v>6458</v>
      </c>
      <c r="AH178" s="225">
        <v>6243</v>
      </c>
      <c r="AI178" s="225">
        <v>6028</v>
      </c>
      <c r="AJ178" s="225">
        <v>5814</v>
      </c>
      <c r="AK178" s="225">
        <v>5601</v>
      </c>
      <c r="AL178" s="225">
        <v>5387</v>
      </c>
      <c r="AM178" s="225">
        <v>5175</v>
      </c>
      <c r="AN178" s="225">
        <v>4963</v>
      </c>
      <c r="AO178" s="225">
        <v>4752</v>
      </c>
      <c r="AP178" s="225">
        <v>4541</v>
      </c>
      <c r="AQ178" s="225">
        <v>4331</v>
      </c>
      <c r="AR178" s="225">
        <v>4121</v>
      </c>
      <c r="AS178" s="225">
        <v>3912</v>
      </c>
      <c r="AT178" s="225">
        <v>3698.3333333333298</v>
      </c>
      <c r="AU178" s="225">
        <v>3487.2666666666601</v>
      </c>
      <c r="AX178" s="347"/>
    </row>
    <row r="179" spans="1:50" x14ac:dyDescent="0.3">
      <c r="A179" s="277"/>
      <c r="B179" s="278"/>
      <c r="C179" s="278"/>
      <c r="D179" s="278"/>
      <c r="E179" s="278"/>
      <c r="F179" s="278"/>
      <c r="G179" s="278"/>
      <c r="H179" s="278"/>
      <c r="I179" s="278"/>
      <c r="J179" s="278"/>
      <c r="K179" s="278"/>
      <c r="L179" s="278"/>
      <c r="M179" s="278"/>
      <c r="N179" s="278"/>
      <c r="O179" s="278"/>
      <c r="P179" s="278"/>
      <c r="Q179" s="278"/>
      <c r="R179" s="278"/>
      <c r="S179" s="278"/>
      <c r="T179" s="278"/>
      <c r="U179" s="278"/>
      <c r="V179" s="278"/>
      <c r="Y179" s="223"/>
      <c r="Z179" s="224" t="s">
        <v>2</v>
      </c>
      <c r="AA179" s="225">
        <v>1551</v>
      </c>
      <c r="AB179" s="225">
        <v>1635</v>
      </c>
      <c r="AC179" s="225">
        <v>1730</v>
      </c>
      <c r="AD179" s="225">
        <v>1822</v>
      </c>
      <c r="AE179" s="225">
        <v>1900</v>
      </c>
      <c r="AF179" s="225">
        <v>1960</v>
      </c>
      <c r="AG179" s="225">
        <v>2008</v>
      </c>
      <c r="AH179" s="225">
        <v>2028</v>
      </c>
      <c r="AI179" s="225">
        <v>2032</v>
      </c>
      <c r="AJ179" s="225">
        <v>1986</v>
      </c>
      <c r="AK179" s="225">
        <v>1956</v>
      </c>
      <c r="AL179" s="225">
        <v>1937</v>
      </c>
      <c r="AM179" s="225">
        <v>1921</v>
      </c>
      <c r="AN179" s="225">
        <v>1910</v>
      </c>
      <c r="AO179" s="225">
        <v>1905</v>
      </c>
      <c r="AP179" s="225">
        <v>1905</v>
      </c>
      <c r="AQ179" s="225">
        <v>1911</v>
      </c>
      <c r="AR179" s="225">
        <v>1921</v>
      </c>
      <c r="AS179" s="225">
        <v>1935</v>
      </c>
      <c r="AT179" s="225">
        <v>1909.25</v>
      </c>
      <c r="AU179" s="225">
        <v>1906.63333333333</v>
      </c>
      <c r="AX179" s="347"/>
    </row>
    <row r="180" spans="1:50" x14ac:dyDescent="0.3">
      <c r="A180" s="277"/>
      <c r="B180" s="278"/>
      <c r="C180" s="278"/>
      <c r="D180" s="278"/>
      <c r="E180" s="278"/>
      <c r="F180" s="278"/>
      <c r="G180" s="278"/>
      <c r="H180" s="278"/>
      <c r="I180" s="278"/>
      <c r="J180" s="278"/>
      <c r="K180" s="278"/>
      <c r="L180" s="278"/>
      <c r="M180" s="278"/>
      <c r="N180" s="278"/>
      <c r="O180" s="278"/>
      <c r="P180" s="278"/>
      <c r="Q180" s="278"/>
      <c r="R180" s="278"/>
      <c r="S180" s="278"/>
      <c r="T180" s="278"/>
      <c r="U180" s="278"/>
      <c r="V180" s="278"/>
      <c r="Y180" s="223"/>
      <c r="Z180" s="224" t="s">
        <v>6</v>
      </c>
      <c r="AA180" s="225">
        <v>275</v>
      </c>
      <c r="AB180" s="225">
        <v>234</v>
      </c>
      <c r="AC180" s="225">
        <v>194</v>
      </c>
      <c r="AD180" s="225">
        <v>153</v>
      </c>
      <c r="AE180" s="225">
        <v>112</v>
      </c>
      <c r="AF180" s="225">
        <v>112</v>
      </c>
      <c r="AG180" s="225">
        <v>113</v>
      </c>
      <c r="AH180" s="225">
        <v>112</v>
      </c>
      <c r="AI180" s="225">
        <v>110</v>
      </c>
      <c r="AJ180" s="225">
        <v>107</v>
      </c>
      <c r="AK180" s="225">
        <v>105</v>
      </c>
      <c r="AL180" s="225">
        <v>103</v>
      </c>
      <c r="AM180" s="225">
        <v>101</v>
      </c>
      <c r="AN180" s="225">
        <v>99</v>
      </c>
      <c r="AO180" s="225">
        <v>98</v>
      </c>
      <c r="AP180" s="225">
        <v>96</v>
      </c>
      <c r="AQ180" s="225">
        <v>95</v>
      </c>
      <c r="AR180" s="225">
        <v>94</v>
      </c>
      <c r="AS180" s="225">
        <v>93</v>
      </c>
      <c r="AT180" s="225">
        <v>90.7222222222222</v>
      </c>
      <c r="AU180" s="225">
        <v>89.2222222222222</v>
      </c>
      <c r="AX180" s="347"/>
    </row>
    <row r="181" spans="1:50" x14ac:dyDescent="0.3">
      <c r="A181" s="277"/>
      <c r="B181" s="278"/>
      <c r="C181" s="278"/>
      <c r="D181" s="278"/>
      <c r="E181" s="278"/>
      <c r="F181" s="278"/>
      <c r="G181" s="278"/>
      <c r="H181" s="278"/>
      <c r="I181" s="278"/>
      <c r="J181" s="278"/>
      <c r="K181" s="278"/>
      <c r="L181" s="278"/>
      <c r="M181" s="278"/>
      <c r="N181" s="278"/>
      <c r="O181" s="278"/>
      <c r="P181" s="278"/>
      <c r="Q181" s="278"/>
      <c r="R181" s="278"/>
      <c r="S181" s="278"/>
      <c r="T181" s="278"/>
      <c r="U181" s="278"/>
      <c r="V181" s="278"/>
      <c r="Y181" s="223"/>
      <c r="Z181" s="224" t="s">
        <v>8</v>
      </c>
      <c r="AA181" s="225">
        <v>62</v>
      </c>
      <c r="AB181" s="225">
        <v>62</v>
      </c>
      <c r="AC181" s="225">
        <v>62</v>
      </c>
      <c r="AD181" s="225">
        <v>62</v>
      </c>
      <c r="AE181" s="225">
        <v>63</v>
      </c>
      <c r="AF181" s="225">
        <v>63</v>
      </c>
      <c r="AG181" s="225">
        <v>63</v>
      </c>
      <c r="AH181" s="225">
        <v>63</v>
      </c>
      <c r="AI181" s="225">
        <v>63</v>
      </c>
      <c r="AJ181" s="225">
        <v>62</v>
      </c>
      <c r="AK181" s="225">
        <v>62</v>
      </c>
      <c r="AL181" s="225">
        <v>61</v>
      </c>
      <c r="AM181" s="225">
        <v>61</v>
      </c>
      <c r="AN181" s="225">
        <v>61</v>
      </c>
      <c r="AO181" s="225">
        <v>61</v>
      </c>
      <c r="AP181" s="225">
        <v>61</v>
      </c>
      <c r="AQ181" s="225">
        <v>60</v>
      </c>
      <c r="AR181" s="225">
        <v>60</v>
      </c>
      <c r="AS181" s="225">
        <v>60</v>
      </c>
      <c r="AT181" s="225">
        <v>59.6944444444444</v>
      </c>
      <c r="AU181" s="225">
        <v>59.477777777777803</v>
      </c>
      <c r="AX181" s="347"/>
    </row>
    <row r="182" spans="1:50" ht="15" thickBot="1" x14ac:dyDescent="0.35">
      <c r="A182" s="277"/>
      <c r="B182" s="278"/>
      <c r="C182" s="278"/>
      <c r="D182" s="278"/>
      <c r="E182" s="278"/>
      <c r="F182" s="278"/>
      <c r="G182" s="278"/>
      <c r="H182" s="278"/>
      <c r="I182" s="278"/>
      <c r="J182" s="278"/>
      <c r="K182" s="278"/>
      <c r="L182" s="278"/>
      <c r="M182" s="278"/>
      <c r="N182" s="278"/>
      <c r="O182" s="278"/>
      <c r="P182" s="278"/>
      <c r="Q182" s="278"/>
      <c r="R182" s="278"/>
      <c r="S182" s="278"/>
      <c r="T182" s="278"/>
      <c r="U182" s="278"/>
      <c r="V182" s="278"/>
      <c r="Y182" s="223"/>
      <c r="Z182" s="226" t="s">
        <v>16</v>
      </c>
      <c r="AA182" s="227">
        <f>SUM(AA177:AA181)</f>
        <v>14874</v>
      </c>
      <c r="AB182" s="227">
        <f t="shared" ref="AB182:AU182" si="84">SUM(AB177:AB181)</f>
        <v>14617</v>
      </c>
      <c r="AC182" s="227">
        <f t="shared" si="84"/>
        <v>14378</v>
      </c>
      <c r="AD182" s="227">
        <f t="shared" si="84"/>
        <v>14132</v>
      </c>
      <c r="AE182" s="227">
        <f t="shared" si="84"/>
        <v>13872</v>
      </c>
      <c r="AF182" s="227">
        <f t="shared" si="84"/>
        <v>13628</v>
      </c>
      <c r="AG182" s="227">
        <f t="shared" si="84"/>
        <v>13366</v>
      </c>
      <c r="AH182" s="227">
        <f t="shared" si="84"/>
        <v>13058</v>
      </c>
      <c r="AI182" s="227">
        <f t="shared" si="84"/>
        <v>12724</v>
      </c>
      <c r="AJ182" s="227">
        <f t="shared" si="84"/>
        <v>12312</v>
      </c>
      <c r="AK182" s="227">
        <f t="shared" si="84"/>
        <v>11927</v>
      </c>
      <c r="AL182" s="227">
        <f t="shared" si="84"/>
        <v>11556</v>
      </c>
      <c r="AM182" s="227">
        <f t="shared" si="84"/>
        <v>11193</v>
      </c>
      <c r="AN182" s="227">
        <f t="shared" si="84"/>
        <v>10838</v>
      </c>
      <c r="AO182" s="227">
        <f t="shared" si="84"/>
        <v>10494</v>
      </c>
      <c r="AP182" s="227">
        <f t="shared" si="84"/>
        <v>10208</v>
      </c>
      <c r="AQ182" s="227">
        <f t="shared" si="84"/>
        <v>9933</v>
      </c>
      <c r="AR182" s="227">
        <f t="shared" si="84"/>
        <v>9665</v>
      </c>
      <c r="AS182" s="227">
        <f t="shared" si="84"/>
        <v>9406</v>
      </c>
      <c r="AT182" s="227">
        <f t="shared" si="84"/>
        <v>9004.4166666666679</v>
      </c>
      <c r="AU182" s="227">
        <f t="shared" si="84"/>
        <v>8689.2999999999902</v>
      </c>
      <c r="AX182" s="347"/>
    </row>
    <row r="183" spans="1:50" x14ac:dyDescent="0.3">
      <c r="A183" s="277"/>
      <c r="B183" s="278"/>
      <c r="C183" s="278"/>
      <c r="D183" s="278"/>
      <c r="E183" s="278"/>
      <c r="F183" s="278"/>
      <c r="G183" s="278"/>
      <c r="H183" s="278"/>
      <c r="I183" s="278"/>
      <c r="J183" s="278"/>
      <c r="K183" s="278"/>
      <c r="L183" s="278"/>
      <c r="M183" s="278"/>
      <c r="N183" s="278"/>
      <c r="O183" s="278"/>
      <c r="P183" s="278"/>
      <c r="Q183" s="278"/>
      <c r="R183" s="278"/>
      <c r="S183" s="278"/>
      <c r="T183" s="278"/>
      <c r="U183" s="278"/>
      <c r="V183" s="278"/>
      <c r="Y183" s="219"/>
      <c r="Z183" s="219"/>
      <c r="AA183" s="219"/>
      <c r="AB183" s="219"/>
      <c r="AC183" s="219"/>
      <c r="AD183" s="219"/>
      <c r="AE183" s="219"/>
      <c r="AF183" s="219"/>
      <c r="AG183" s="219"/>
      <c r="AH183" s="219"/>
      <c r="AI183" s="219"/>
      <c r="AJ183" s="219"/>
      <c r="AK183" s="219"/>
      <c r="AL183" s="219"/>
      <c r="AM183" s="219"/>
      <c r="AN183" s="219"/>
      <c r="AO183" s="219"/>
      <c r="AP183" s="219"/>
      <c r="AQ183" s="219"/>
      <c r="AR183" s="219"/>
      <c r="AS183" s="219"/>
      <c r="AT183" s="219"/>
      <c r="AU183" s="219"/>
      <c r="AX183" s="347"/>
    </row>
    <row r="184" spans="1:50" ht="15" thickBot="1" x14ac:dyDescent="0.35">
      <c r="A184" s="285"/>
      <c r="B184" s="283"/>
      <c r="C184" s="283"/>
      <c r="D184" s="283"/>
      <c r="E184" s="283"/>
      <c r="F184" s="283"/>
      <c r="G184" s="283"/>
      <c r="H184" s="283"/>
      <c r="I184" s="283"/>
      <c r="J184" s="283"/>
      <c r="K184" s="283"/>
      <c r="L184" s="283"/>
      <c r="M184" s="283"/>
      <c r="N184" s="283"/>
      <c r="O184" s="283"/>
      <c r="P184" s="283">
        <v>1</v>
      </c>
      <c r="Q184" s="283">
        <v>2</v>
      </c>
      <c r="R184" s="283">
        <v>3</v>
      </c>
      <c r="S184" s="283">
        <v>4</v>
      </c>
      <c r="T184" s="283">
        <v>5</v>
      </c>
      <c r="U184" s="283">
        <v>6</v>
      </c>
      <c r="V184" s="283">
        <v>7</v>
      </c>
      <c r="Y184" s="219"/>
      <c r="Z184" s="219"/>
      <c r="AA184" s="219"/>
      <c r="AB184" s="219"/>
      <c r="AC184" s="219"/>
      <c r="AD184" s="219"/>
      <c r="AE184" s="219"/>
      <c r="AF184" s="219"/>
      <c r="AG184" s="219"/>
      <c r="AH184" s="219"/>
      <c r="AI184" s="219" t="s">
        <v>107</v>
      </c>
      <c r="AJ184" s="219"/>
      <c r="AK184" s="219"/>
      <c r="AL184" s="219"/>
      <c r="AM184" s="219"/>
      <c r="AN184" s="219"/>
      <c r="AO184" s="219"/>
      <c r="AP184" s="219"/>
      <c r="AQ184" s="219"/>
      <c r="AR184" s="219"/>
      <c r="AS184" s="219"/>
      <c r="AT184" s="219"/>
      <c r="AU184" s="219"/>
      <c r="AX184" s="347"/>
    </row>
    <row r="185" spans="1:50" ht="28.8" x14ac:dyDescent="0.3">
      <c r="A185" s="290" t="s">
        <v>916</v>
      </c>
      <c r="B185" s="283">
        <f t="shared" ref="B185:V185" si="85">B2</f>
        <v>2020</v>
      </c>
      <c r="C185" s="283">
        <f t="shared" si="85"/>
        <v>2021</v>
      </c>
      <c r="D185" s="283">
        <f t="shared" si="85"/>
        <v>2022</v>
      </c>
      <c r="E185" s="283">
        <f t="shared" si="85"/>
        <v>2023</v>
      </c>
      <c r="F185" s="283">
        <f t="shared" si="85"/>
        <v>2024</v>
      </c>
      <c r="G185" s="283">
        <f t="shared" si="85"/>
        <v>2025</v>
      </c>
      <c r="H185" s="283">
        <f t="shared" si="85"/>
        <v>2026</v>
      </c>
      <c r="I185" s="283">
        <f t="shared" si="85"/>
        <v>2027</v>
      </c>
      <c r="J185" s="283">
        <f t="shared" si="85"/>
        <v>2028</v>
      </c>
      <c r="K185" s="283">
        <f t="shared" si="85"/>
        <v>2029</v>
      </c>
      <c r="L185" s="283">
        <f t="shared" si="85"/>
        <v>2030</v>
      </c>
      <c r="M185" s="283">
        <f t="shared" si="85"/>
        <v>2031</v>
      </c>
      <c r="N185" s="283">
        <f t="shared" si="85"/>
        <v>2032</v>
      </c>
      <c r="O185" s="283">
        <f t="shared" si="85"/>
        <v>2033</v>
      </c>
      <c r="P185" s="283">
        <f t="shared" si="85"/>
        <v>2034</v>
      </c>
      <c r="Q185" s="283">
        <f t="shared" si="85"/>
        <v>2035</v>
      </c>
      <c r="R185" s="283">
        <f t="shared" si="85"/>
        <v>2036</v>
      </c>
      <c r="S185" s="283">
        <f t="shared" si="85"/>
        <v>2037</v>
      </c>
      <c r="T185" s="283">
        <f t="shared" si="85"/>
        <v>2038</v>
      </c>
      <c r="U185" s="283">
        <f t="shared" si="85"/>
        <v>2039</v>
      </c>
      <c r="V185" s="283">
        <f t="shared" si="85"/>
        <v>2040</v>
      </c>
      <c r="Y185" s="220" t="s">
        <v>15</v>
      </c>
      <c r="Z185" s="221"/>
      <c r="AA185" s="221">
        <v>2020</v>
      </c>
      <c r="AB185" s="221">
        <v>2021</v>
      </c>
      <c r="AC185" s="221">
        <v>2022</v>
      </c>
      <c r="AD185" s="221">
        <v>2023</v>
      </c>
      <c r="AE185" s="221">
        <v>2024</v>
      </c>
      <c r="AF185" s="221">
        <v>2025</v>
      </c>
      <c r="AG185" s="221">
        <v>2026</v>
      </c>
      <c r="AH185" s="221">
        <v>2027</v>
      </c>
      <c r="AI185" s="221">
        <v>2028</v>
      </c>
      <c r="AJ185" s="221">
        <v>2029</v>
      </c>
      <c r="AK185" s="221">
        <v>2030</v>
      </c>
      <c r="AL185" s="221">
        <v>2031</v>
      </c>
      <c r="AM185" s="221">
        <v>2032</v>
      </c>
      <c r="AN185" s="221">
        <v>2033</v>
      </c>
      <c r="AO185" s="221">
        <v>2034</v>
      </c>
      <c r="AP185" s="221">
        <v>2035</v>
      </c>
      <c r="AQ185" s="221">
        <v>2036</v>
      </c>
      <c r="AR185" s="221">
        <v>2037</v>
      </c>
      <c r="AS185" s="221">
        <v>2038</v>
      </c>
      <c r="AT185" s="221">
        <v>2039</v>
      </c>
      <c r="AU185" s="222">
        <v>2040</v>
      </c>
      <c r="AX185" s="347"/>
    </row>
    <row r="186" spans="1:50" x14ac:dyDescent="0.3">
      <c r="A186" s="285" t="s">
        <v>917</v>
      </c>
      <c r="B186" s="283">
        <v>3084</v>
      </c>
      <c r="C186" s="283">
        <v>3039</v>
      </c>
      <c r="D186" s="283">
        <v>2995</v>
      </c>
      <c r="E186" s="283">
        <v>2951</v>
      </c>
      <c r="F186" s="283">
        <v>2910</v>
      </c>
      <c r="G186" s="283">
        <v>2871</v>
      </c>
      <c r="H186" s="283">
        <v>2833</v>
      </c>
      <c r="I186" s="283">
        <v>2794</v>
      </c>
      <c r="J186" s="283">
        <v>2756</v>
      </c>
      <c r="K186" s="283">
        <v>2718</v>
      </c>
      <c r="L186" s="283">
        <v>2681</v>
      </c>
      <c r="M186" s="283">
        <v>2644</v>
      </c>
      <c r="N186" s="283">
        <v>2609</v>
      </c>
      <c r="O186" s="283">
        <v>2575</v>
      </c>
      <c r="P186" s="283">
        <v>2541</v>
      </c>
      <c r="Q186" s="283">
        <v>2508</v>
      </c>
      <c r="R186" s="283">
        <v>2476</v>
      </c>
      <c r="S186" s="283">
        <v>2445</v>
      </c>
      <c r="T186" s="283">
        <v>2414</v>
      </c>
      <c r="U186" s="287">
        <f>2573.3*EXP(-0.013*U184)</f>
        <v>2380.2109588244898</v>
      </c>
      <c r="V186" s="287">
        <f>2573.3*EXP(-0.013*V184)</f>
        <v>2349.4684754570808</v>
      </c>
      <c r="Y186" s="223"/>
      <c r="Z186" s="224" t="s">
        <v>0</v>
      </c>
      <c r="AA186" s="228">
        <f t="shared" ref="AA186:AU186" si="86">AA177/AA$191</f>
        <v>0.35135135135135137</v>
      </c>
      <c r="AB186" s="228">
        <f t="shared" si="86"/>
        <v>0.35198741191763017</v>
      </c>
      <c r="AC186" s="228">
        <f t="shared" si="86"/>
        <v>0.35262206148282099</v>
      </c>
      <c r="AD186" s="228">
        <f t="shared" si="86"/>
        <v>0.35324087178035662</v>
      </c>
      <c r="AE186" s="228">
        <f t="shared" si="86"/>
        <v>0.35395040369088809</v>
      </c>
      <c r="AF186" s="228">
        <f t="shared" si="86"/>
        <v>0.3537569709421779</v>
      </c>
      <c r="AG186" s="228">
        <f t="shared" si="86"/>
        <v>0.35343408648810415</v>
      </c>
      <c r="AH186" s="228">
        <f t="shared" si="86"/>
        <v>0.35319344463164343</v>
      </c>
      <c r="AI186" s="228">
        <f t="shared" si="86"/>
        <v>0.35295504558314994</v>
      </c>
      <c r="AJ186" s="228">
        <f t="shared" si="86"/>
        <v>0.35274528914879794</v>
      </c>
      <c r="AK186" s="228">
        <f t="shared" si="86"/>
        <v>0.35239372851513373</v>
      </c>
      <c r="AL186" s="228">
        <f t="shared" si="86"/>
        <v>0.35202492211838005</v>
      </c>
      <c r="AM186" s="228">
        <f t="shared" si="86"/>
        <v>0.35155901009559548</v>
      </c>
      <c r="AN186" s="228">
        <f t="shared" si="86"/>
        <v>0.35107953496955158</v>
      </c>
      <c r="AO186" s="228">
        <f t="shared" si="86"/>
        <v>0.35048599199542596</v>
      </c>
      <c r="AP186" s="228">
        <f t="shared" si="86"/>
        <v>0.35315438871473354</v>
      </c>
      <c r="AQ186" s="228">
        <f t="shared" si="86"/>
        <v>0.35598510017114671</v>
      </c>
      <c r="AR186" s="228">
        <f t="shared" si="86"/>
        <v>0.35892395240558717</v>
      </c>
      <c r="AS186" s="228">
        <f t="shared" si="86"/>
        <v>0.36210929194131408</v>
      </c>
      <c r="AT186" s="228">
        <f t="shared" si="86"/>
        <v>0.36053603324294592</v>
      </c>
      <c r="AU186" s="228">
        <f t="shared" si="86"/>
        <v>0.36213503964646215</v>
      </c>
      <c r="AX186" s="347"/>
    </row>
    <row r="187" spans="1:50" x14ac:dyDescent="0.3">
      <c r="A187" s="277"/>
      <c r="B187" s="278"/>
      <c r="C187" s="278"/>
      <c r="D187" s="278"/>
      <c r="E187" s="278"/>
      <c r="F187" s="278"/>
      <c r="G187" s="278"/>
      <c r="H187" s="278"/>
      <c r="I187" s="278"/>
      <c r="J187" s="278"/>
      <c r="K187" s="278"/>
      <c r="L187" s="278"/>
      <c r="M187" s="278"/>
      <c r="N187" s="278"/>
      <c r="O187" s="278"/>
      <c r="P187" s="278"/>
      <c r="Q187" s="278"/>
      <c r="R187" s="278"/>
      <c r="S187" s="278"/>
      <c r="T187" s="278"/>
      <c r="U187" s="278"/>
      <c r="V187" s="278"/>
      <c r="Y187" s="223"/>
      <c r="Z187" s="224" t="s">
        <v>1</v>
      </c>
      <c r="AA187" s="228">
        <f t="shared" ref="AA187:AU187" si="87">AA178/AA$191</f>
        <v>0.52171574559634259</v>
      </c>
      <c r="AB187" s="228">
        <f t="shared" si="87"/>
        <v>0.51590613669015528</v>
      </c>
      <c r="AC187" s="228">
        <f t="shared" si="87"/>
        <v>0.50925024342745862</v>
      </c>
      <c r="AD187" s="228">
        <f t="shared" si="87"/>
        <v>0.50261817152561561</v>
      </c>
      <c r="AE187" s="228">
        <f t="shared" si="87"/>
        <v>0.49646770472895041</v>
      </c>
      <c r="AF187" s="228">
        <f t="shared" si="87"/>
        <v>0.48958027590255354</v>
      </c>
      <c r="AG187" s="228">
        <f t="shared" si="87"/>
        <v>0.48316624270537184</v>
      </c>
      <c r="AH187" s="228">
        <f t="shared" si="87"/>
        <v>0.47809771787410016</v>
      </c>
      <c r="AI187" s="228">
        <f t="shared" si="87"/>
        <v>0.47375039295818927</v>
      </c>
      <c r="AJ187" s="228">
        <f t="shared" si="87"/>
        <v>0.47222222222222221</v>
      </c>
      <c r="AK187" s="228">
        <f t="shared" si="87"/>
        <v>0.46960677454514965</v>
      </c>
      <c r="AL187" s="228">
        <f t="shared" si="87"/>
        <v>0.46616476289373487</v>
      </c>
      <c r="AM187" s="228">
        <f t="shared" si="87"/>
        <v>0.46234253551326721</v>
      </c>
      <c r="AN187" s="228">
        <f t="shared" si="87"/>
        <v>0.45792581657132314</v>
      </c>
      <c r="AO187" s="228">
        <f t="shared" si="87"/>
        <v>0.45283018867924529</v>
      </c>
      <c r="AP187" s="228">
        <f t="shared" si="87"/>
        <v>0.44484717868338558</v>
      </c>
      <c r="AQ187" s="228">
        <f t="shared" si="87"/>
        <v>0.4360213429980872</v>
      </c>
      <c r="AR187" s="228">
        <f t="shared" si="87"/>
        <v>0.4263838592860838</v>
      </c>
      <c r="AS187" s="228">
        <f t="shared" si="87"/>
        <v>0.41590474165426322</v>
      </c>
      <c r="AT187" s="228">
        <f t="shared" si="87"/>
        <v>0.41072436674594831</v>
      </c>
      <c r="AU187" s="228">
        <f t="shared" si="87"/>
        <v>0.40132883738237418</v>
      </c>
      <c r="AX187" s="347"/>
    </row>
    <row r="188" spans="1:50" x14ac:dyDescent="0.3">
      <c r="A188" s="277"/>
      <c r="B188" s="278"/>
      <c r="C188" s="278"/>
      <c r="D188" s="278"/>
      <c r="E188" s="278"/>
      <c r="F188" s="278"/>
      <c r="G188" s="278"/>
      <c r="H188" s="278"/>
      <c r="I188" s="278"/>
      <c r="J188" s="278"/>
      <c r="K188" s="278"/>
      <c r="L188" s="278"/>
      <c r="M188" s="278"/>
      <c r="N188" s="278"/>
      <c r="O188" s="278"/>
      <c r="P188" s="278"/>
      <c r="Q188" s="278"/>
      <c r="R188" s="278"/>
      <c r="S188" s="278"/>
      <c r="T188" s="278"/>
      <c r="U188" s="278"/>
      <c r="V188" s="278"/>
      <c r="Y188" s="223"/>
      <c r="Z188" s="224" t="s">
        <v>2</v>
      </c>
      <c r="AA188" s="228">
        <f t="shared" ref="AA188:AU188" si="88">AA179/AA$191</f>
        <v>0.10427591770875352</v>
      </c>
      <c r="AB188" s="228">
        <f t="shared" si="88"/>
        <v>0.11185605801464049</v>
      </c>
      <c r="AC188" s="228">
        <f t="shared" si="88"/>
        <v>0.12032271525942412</v>
      </c>
      <c r="AD188" s="228">
        <f t="shared" si="88"/>
        <v>0.12892725728842344</v>
      </c>
      <c r="AE188" s="228">
        <f t="shared" si="88"/>
        <v>0.13696655132641292</v>
      </c>
      <c r="AF188" s="228">
        <f t="shared" si="88"/>
        <v>0.14382154388024654</v>
      </c>
      <c r="AG188" s="228">
        <f t="shared" si="88"/>
        <v>0.15023193176717042</v>
      </c>
      <c r="AH188" s="228">
        <f t="shared" si="88"/>
        <v>0.15530709143819882</v>
      </c>
      <c r="AI188" s="228">
        <f t="shared" si="88"/>
        <v>0.15969820811065702</v>
      </c>
      <c r="AJ188" s="228">
        <f t="shared" si="88"/>
        <v>0.16130604288499026</v>
      </c>
      <c r="AK188" s="228">
        <f t="shared" si="88"/>
        <v>0.16399765238534417</v>
      </c>
      <c r="AL188" s="228">
        <f t="shared" si="88"/>
        <v>0.16761855313257182</v>
      </c>
      <c r="AM188" s="228">
        <f t="shared" si="88"/>
        <v>0.17162512284463505</v>
      </c>
      <c r="AN188" s="228">
        <f t="shared" si="88"/>
        <v>0.17623177708064219</v>
      </c>
      <c r="AO188" s="228">
        <f t="shared" si="88"/>
        <v>0.18153230417381361</v>
      </c>
      <c r="AP188" s="228">
        <f t="shared" si="88"/>
        <v>0.18661833855799373</v>
      </c>
      <c r="AQ188" s="228">
        <f t="shared" si="88"/>
        <v>0.19238900634249473</v>
      </c>
      <c r="AR188" s="228">
        <f t="shared" si="88"/>
        <v>0.19875840662183136</v>
      </c>
      <c r="AS188" s="228">
        <f t="shared" si="88"/>
        <v>0.20571975334892623</v>
      </c>
      <c r="AT188" s="228">
        <f t="shared" si="88"/>
        <v>0.21203483475701737</v>
      </c>
      <c r="AU188" s="228">
        <f t="shared" si="88"/>
        <v>0.2194231219238986</v>
      </c>
      <c r="AX188" s="347"/>
    </row>
    <row r="189" spans="1:50" x14ac:dyDescent="0.3">
      <c r="A189" s="277"/>
      <c r="B189" s="278"/>
      <c r="C189" s="278"/>
      <c r="D189" s="278"/>
      <c r="E189" s="278"/>
      <c r="F189" s="278"/>
      <c r="G189" s="278"/>
      <c r="H189" s="278"/>
      <c r="I189" s="278"/>
      <c r="J189" s="278"/>
      <c r="K189" s="278"/>
      <c r="L189" s="278"/>
      <c r="M189" s="278"/>
      <c r="N189" s="278"/>
      <c r="O189" s="278"/>
      <c r="P189" s="278"/>
      <c r="Q189" s="278"/>
      <c r="R189" s="278"/>
      <c r="S189" s="278"/>
      <c r="T189" s="278"/>
      <c r="U189" s="278"/>
      <c r="V189" s="278"/>
      <c r="Y189" s="223"/>
      <c r="Z189" s="224" t="s">
        <v>6</v>
      </c>
      <c r="AA189" s="228">
        <f t="shared" ref="AA189:AU189" si="89">AA180/AA$191</f>
        <v>1.8488637891622965E-2</v>
      </c>
      <c r="AB189" s="228">
        <f t="shared" si="89"/>
        <v>1.6008756926865979E-2</v>
      </c>
      <c r="AC189" s="228">
        <f t="shared" si="89"/>
        <v>1.3492836277646404E-2</v>
      </c>
      <c r="AD189" s="228">
        <f t="shared" si="89"/>
        <v>1.0826493065383526E-2</v>
      </c>
      <c r="AE189" s="228">
        <f t="shared" si="89"/>
        <v>8.0738177623990767E-3</v>
      </c>
      <c r="AF189" s="228">
        <f t="shared" si="89"/>
        <v>8.2183739360140885E-3</v>
      </c>
      <c r="AG189" s="228">
        <f t="shared" si="89"/>
        <v>8.4542869968576989E-3</v>
      </c>
      <c r="AH189" s="228">
        <f t="shared" si="89"/>
        <v>8.5771174758768574E-3</v>
      </c>
      <c r="AI189" s="228">
        <f t="shared" si="89"/>
        <v>8.6450801634706063E-3</v>
      </c>
      <c r="AJ189" s="228">
        <f t="shared" si="89"/>
        <v>8.6907082521117604E-3</v>
      </c>
      <c r="AK189" s="228">
        <f t="shared" si="89"/>
        <v>8.8035549593359613E-3</v>
      </c>
      <c r="AL189" s="228">
        <f t="shared" si="89"/>
        <v>8.9131187262028386E-3</v>
      </c>
      <c r="AM189" s="228">
        <f t="shared" si="89"/>
        <v>9.023496828374878E-3</v>
      </c>
      <c r="AN189" s="228">
        <f t="shared" si="89"/>
        <v>9.1345266654364269E-3</v>
      </c>
      <c r="AO189" s="228">
        <f t="shared" si="89"/>
        <v>9.3386697160282063E-3</v>
      </c>
      <c r="AP189" s="228">
        <f t="shared" si="89"/>
        <v>9.4043887147335428E-3</v>
      </c>
      <c r="AQ189" s="228">
        <f t="shared" si="89"/>
        <v>9.5640793315211921E-3</v>
      </c>
      <c r="AR189" s="228">
        <f t="shared" si="89"/>
        <v>9.7258147956544236E-3</v>
      </c>
      <c r="AS189" s="228">
        <f t="shared" si="89"/>
        <v>9.8873059749096329E-3</v>
      </c>
      <c r="AT189" s="228">
        <f t="shared" si="89"/>
        <v>1.0075302552142618E-2</v>
      </c>
      <c r="AU189" s="228">
        <f t="shared" si="89"/>
        <v>1.0268056370734385E-2</v>
      </c>
      <c r="AV189" t="s">
        <v>927</v>
      </c>
      <c r="AX189" s="347"/>
    </row>
    <row r="190" spans="1:50" x14ac:dyDescent="0.3">
      <c r="A190" s="277"/>
      <c r="B190" s="278"/>
      <c r="C190" s="278"/>
      <c r="D190" s="278"/>
      <c r="E190" s="278"/>
      <c r="F190" s="278"/>
      <c r="G190" s="278"/>
      <c r="H190" s="278"/>
      <c r="I190" s="278"/>
      <c r="J190" s="278"/>
      <c r="K190" s="278"/>
      <c r="L190" s="278"/>
      <c r="M190" s="278"/>
      <c r="N190" s="278"/>
      <c r="O190" s="278"/>
      <c r="P190" s="278"/>
      <c r="Q190" s="278"/>
      <c r="R190" s="278"/>
      <c r="S190" s="278"/>
      <c r="T190" s="278"/>
      <c r="U190" s="278"/>
      <c r="V190" s="278"/>
      <c r="Y190" s="223"/>
      <c r="Z190" s="224" t="s">
        <v>8</v>
      </c>
      <c r="AA190" s="228">
        <f t="shared" ref="AA190:AU190" si="90">AA181/AA$191</f>
        <v>4.1683474519295417E-3</v>
      </c>
      <c r="AB190" s="228">
        <f t="shared" si="90"/>
        <v>4.2416364507080794E-3</v>
      </c>
      <c r="AC190" s="228">
        <f t="shared" si="90"/>
        <v>4.3121435526498816E-3</v>
      </c>
      <c r="AD190" s="228">
        <f t="shared" si="90"/>
        <v>4.3872063402207754E-3</v>
      </c>
      <c r="AE190" s="228">
        <f t="shared" si="90"/>
        <v>4.5415224913494812E-3</v>
      </c>
      <c r="AF190" s="228">
        <f t="shared" si="90"/>
        <v>4.6228353390079246E-3</v>
      </c>
      <c r="AG190" s="228">
        <f t="shared" si="90"/>
        <v>4.7134520424958852E-3</v>
      </c>
      <c r="AH190" s="228">
        <f t="shared" si="90"/>
        <v>4.8246285801807325E-3</v>
      </c>
      <c r="AI190" s="228">
        <f t="shared" si="90"/>
        <v>4.9512731845331656E-3</v>
      </c>
      <c r="AJ190" s="228">
        <f t="shared" si="90"/>
        <v>5.0357374918778425E-3</v>
      </c>
      <c r="AK190" s="228">
        <f t="shared" si="90"/>
        <v>5.1982895950364715E-3</v>
      </c>
      <c r="AL190" s="228">
        <f t="shared" si="90"/>
        <v>5.2786431291104189E-3</v>
      </c>
      <c r="AM190" s="228">
        <f t="shared" si="90"/>
        <v>5.449834718127401E-3</v>
      </c>
      <c r="AN190" s="228">
        <f t="shared" si="90"/>
        <v>5.6283447130466872E-3</v>
      </c>
      <c r="AO190" s="228">
        <f t="shared" si="90"/>
        <v>5.8128454354869448E-3</v>
      </c>
      <c r="AP190" s="228">
        <f t="shared" si="90"/>
        <v>5.975705329153605E-3</v>
      </c>
      <c r="AQ190" s="228">
        <f t="shared" si="90"/>
        <v>6.0404711567502269E-3</v>
      </c>
      <c r="AR190" s="228">
        <f t="shared" si="90"/>
        <v>6.2079668908432487E-3</v>
      </c>
      <c r="AS190" s="228">
        <f t="shared" si="90"/>
        <v>6.3789070805868597E-3</v>
      </c>
      <c r="AT190" s="228">
        <f t="shared" si="90"/>
        <v>6.629462701945644E-3</v>
      </c>
      <c r="AU190" s="228">
        <f t="shared" si="90"/>
        <v>6.8449446765306609E-3</v>
      </c>
      <c r="AX190" s="347"/>
    </row>
    <row r="191" spans="1:50" ht="15" thickBot="1" x14ac:dyDescent="0.35">
      <c r="A191" s="277"/>
      <c r="B191" s="278"/>
      <c r="C191" s="278"/>
      <c r="D191" s="278"/>
      <c r="E191" s="278"/>
      <c r="F191" s="278"/>
      <c r="G191" s="278"/>
      <c r="H191" s="278"/>
      <c r="I191" s="278"/>
      <c r="J191" s="278"/>
      <c r="K191" s="278"/>
      <c r="L191" s="278"/>
      <c r="M191" s="278"/>
      <c r="N191" s="278"/>
      <c r="O191" s="278"/>
      <c r="P191" s="278"/>
      <c r="Q191" s="278"/>
      <c r="R191" s="278"/>
      <c r="S191" s="278"/>
      <c r="T191" s="278"/>
      <c r="U191" s="278"/>
      <c r="V191" s="278"/>
      <c r="Y191" s="223"/>
      <c r="Z191" s="226" t="s">
        <v>16</v>
      </c>
      <c r="AA191" s="227">
        <f>AA182</f>
        <v>14874</v>
      </c>
      <c r="AB191" s="227">
        <f t="shared" ref="AB191:AU191" si="91">AB182</f>
        <v>14617</v>
      </c>
      <c r="AC191" s="227">
        <f t="shared" si="91"/>
        <v>14378</v>
      </c>
      <c r="AD191" s="227">
        <f t="shared" si="91"/>
        <v>14132</v>
      </c>
      <c r="AE191" s="227">
        <f t="shared" si="91"/>
        <v>13872</v>
      </c>
      <c r="AF191" s="227">
        <f t="shared" si="91"/>
        <v>13628</v>
      </c>
      <c r="AG191" s="227">
        <f t="shared" si="91"/>
        <v>13366</v>
      </c>
      <c r="AH191" s="227">
        <f t="shared" si="91"/>
        <v>13058</v>
      </c>
      <c r="AI191" s="227">
        <f t="shared" si="91"/>
        <v>12724</v>
      </c>
      <c r="AJ191" s="227">
        <f t="shared" si="91"/>
        <v>12312</v>
      </c>
      <c r="AK191" s="227">
        <f t="shared" si="91"/>
        <v>11927</v>
      </c>
      <c r="AL191" s="227">
        <f t="shared" si="91"/>
        <v>11556</v>
      </c>
      <c r="AM191" s="227">
        <f t="shared" si="91"/>
        <v>11193</v>
      </c>
      <c r="AN191" s="227">
        <f t="shared" si="91"/>
        <v>10838</v>
      </c>
      <c r="AO191" s="227">
        <f t="shared" si="91"/>
        <v>10494</v>
      </c>
      <c r="AP191" s="227">
        <f t="shared" si="91"/>
        <v>10208</v>
      </c>
      <c r="AQ191" s="227">
        <f t="shared" si="91"/>
        <v>9933</v>
      </c>
      <c r="AR191" s="227">
        <f t="shared" si="91"/>
        <v>9665</v>
      </c>
      <c r="AS191" s="227">
        <f t="shared" si="91"/>
        <v>9406</v>
      </c>
      <c r="AT191" s="227">
        <f t="shared" si="91"/>
        <v>9004.4166666666679</v>
      </c>
      <c r="AU191" s="227">
        <f t="shared" si="91"/>
        <v>8689.2999999999902</v>
      </c>
    </row>
    <row r="192" spans="1:50" ht="15" thickBot="1" x14ac:dyDescent="0.35">
      <c r="A192" s="277"/>
      <c r="B192" s="278"/>
      <c r="C192" s="278"/>
      <c r="D192" s="278"/>
      <c r="E192" s="278"/>
      <c r="F192" s="278"/>
      <c r="G192" s="278"/>
      <c r="H192" s="278"/>
      <c r="I192" s="278"/>
      <c r="J192" s="278"/>
      <c r="K192" s="278"/>
      <c r="L192" s="278"/>
      <c r="M192" s="278"/>
      <c r="N192" s="278"/>
      <c r="O192" s="278"/>
      <c r="P192" s="278"/>
      <c r="Q192" s="278"/>
      <c r="R192" s="278"/>
      <c r="S192" s="278"/>
      <c r="T192" s="278"/>
      <c r="U192" s="278"/>
      <c r="V192" s="278"/>
      <c r="Y192" s="219"/>
      <c r="Z192" s="219"/>
      <c r="AA192" s="219"/>
      <c r="AB192" s="219"/>
      <c r="AC192" s="219"/>
      <c r="AD192" s="219"/>
      <c r="AE192" s="219"/>
      <c r="AF192" s="219"/>
      <c r="AG192" s="219"/>
      <c r="AH192" s="219"/>
      <c r="AI192" s="219"/>
      <c r="AJ192" s="219"/>
      <c r="AK192" s="219"/>
      <c r="AL192" s="219"/>
      <c r="AM192" s="219"/>
      <c r="AN192" s="219"/>
      <c r="AO192" s="219"/>
      <c r="AP192" s="219"/>
      <c r="AQ192" s="219"/>
      <c r="AR192" s="219"/>
      <c r="AS192" s="219"/>
      <c r="AT192" s="219"/>
      <c r="AU192" s="219"/>
    </row>
    <row r="193" spans="1:47" x14ac:dyDescent="0.3">
      <c r="A193" s="277"/>
      <c r="B193" s="278"/>
      <c r="C193" s="278"/>
      <c r="D193" s="278"/>
      <c r="E193" s="278"/>
      <c r="F193" s="278"/>
      <c r="G193" s="278"/>
      <c r="H193" s="278"/>
      <c r="I193" s="278"/>
      <c r="J193" s="278"/>
      <c r="K193" s="278"/>
      <c r="L193" s="278"/>
      <c r="M193" s="278"/>
      <c r="N193" s="278"/>
      <c r="O193" s="278"/>
      <c r="P193" s="278"/>
      <c r="Q193" s="278"/>
      <c r="R193" s="278"/>
      <c r="S193" s="278"/>
      <c r="T193" s="278"/>
      <c r="U193" s="278"/>
      <c r="V193" s="278"/>
      <c r="Y193" s="219"/>
      <c r="Z193" s="219"/>
      <c r="AA193" s="221">
        <v>2020</v>
      </c>
      <c r="AB193" s="221">
        <v>2021</v>
      </c>
      <c r="AC193" s="221">
        <v>2022</v>
      </c>
      <c r="AD193" s="221">
        <v>2023</v>
      </c>
      <c r="AE193" s="221">
        <v>2024</v>
      </c>
      <c r="AF193" s="221">
        <v>2025</v>
      </c>
      <c r="AG193" s="221">
        <v>2026</v>
      </c>
      <c r="AH193" s="221">
        <v>2027</v>
      </c>
      <c r="AI193" s="221">
        <v>2028</v>
      </c>
      <c r="AJ193" s="221">
        <v>2029</v>
      </c>
      <c r="AK193" s="221">
        <v>2030</v>
      </c>
      <c r="AL193" s="221">
        <v>2031</v>
      </c>
      <c r="AM193" s="221">
        <v>2032</v>
      </c>
      <c r="AN193" s="221">
        <v>2033</v>
      </c>
      <c r="AO193" s="221">
        <v>2034</v>
      </c>
      <c r="AP193" s="221">
        <v>2035</v>
      </c>
      <c r="AQ193" s="221">
        <v>2036</v>
      </c>
      <c r="AR193" s="221">
        <v>2037</v>
      </c>
      <c r="AS193" s="221">
        <v>2038</v>
      </c>
      <c r="AT193" s="221">
        <v>2039</v>
      </c>
      <c r="AU193" s="222">
        <v>2040</v>
      </c>
    </row>
    <row r="194" spans="1:47" x14ac:dyDescent="0.3">
      <c r="A194" s="277"/>
      <c r="B194" s="278"/>
      <c r="C194" s="278"/>
      <c r="D194" s="278"/>
      <c r="E194" s="278"/>
      <c r="F194" s="278"/>
      <c r="G194" s="278"/>
      <c r="H194" s="278"/>
      <c r="I194" s="278"/>
      <c r="J194" s="278"/>
      <c r="K194" s="278"/>
      <c r="L194" s="278"/>
      <c r="M194" s="278"/>
      <c r="N194" s="278"/>
      <c r="O194" s="278"/>
      <c r="P194" s="278"/>
      <c r="Q194" s="278"/>
      <c r="R194" s="278"/>
      <c r="S194" s="278"/>
      <c r="T194" s="278"/>
      <c r="U194" s="278"/>
      <c r="V194" s="278"/>
      <c r="Y194" s="219"/>
      <c r="Z194" s="219"/>
      <c r="AA194" s="219"/>
      <c r="AB194" s="219"/>
      <c r="AC194" s="229" t="s">
        <v>110</v>
      </c>
      <c r="AD194" s="219"/>
      <c r="AE194" s="219"/>
      <c r="AF194" s="219"/>
      <c r="AG194" s="219"/>
      <c r="AH194" s="219"/>
      <c r="AI194" s="219"/>
      <c r="AJ194" s="219"/>
      <c r="AK194" s="219"/>
      <c r="AL194" s="219"/>
      <c r="AM194" s="219"/>
      <c r="AN194" s="219"/>
      <c r="AO194" s="219"/>
      <c r="AP194" s="219"/>
      <c r="AQ194" s="219"/>
      <c r="AR194" s="219"/>
      <c r="AS194" s="219"/>
      <c r="AT194" s="219"/>
      <c r="AU194" s="219"/>
    </row>
    <row r="195" spans="1:47" x14ac:dyDescent="0.3">
      <c r="A195" s="277"/>
      <c r="B195" s="278"/>
      <c r="C195" s="278"/>
      <c r="D195" s="278"/>
      <c r="E195" s="278"/>
      <c r="F195" s="278"/>
      <c r="G195" s="278"/>
      <c r="H195" s="278"/>
      <c r="I195" s="278"/>
      <c r="J195" s="278"/>
      <c r="K195" s="278"/>
      <c r="L195" s="278"/>
      <c r="M195" s="278"/>
      <c r="N195" s="278"/>
      <c r="O195" s="278"/>
      <c r="P195" s="278"/>
      <c r="Q195" s="278"/>
      <c r="R195" s="278"/>
      <c r="S195" s="278"/>
      <c r="T195" s="278"/>
      <c r="U195" s="278"/>
      <c r="V195" s="278"/>
      <c r="Y195" s="219"/>
      <c r="Z195" s="229" t="s">
        <v>111</v>
      </c>
      <c r="AA195" s="219">
        <v>14874</v>
      </c>
      <c r="AB195" s="219">
        <v>14617</v>
      </c>
      <c r="AC195" s="219">
        <v>14379</v>
      </c>
      <c r="AD195" s="219">
        <v>14133</v>
      </c>
      <c r="AE195" s="219">
        <v>13872</v>
      </c>
      <c r="AF195" s="219">
        <v>13628</v>
      </c>
      <c r="AG195" s="219">
        <v>13364</v>
      </c>
      <c r="AH195" s="219">
        <v>13057</v>
      </c>
      <c r="AI195" s="219">
        <v>12725</v>
      </c>
      <c r="AJ195" s="219">
        <v>12311</v>
      </c>
      <c r="AK195" s="219">
        <v>11926</v>
      </c>
      <c r="AL195" s="219">
        <v>11556</v>
      </c>
      <c r="AM195" s="219">
        <v>11193</v>
      </c>
      <c r="AN195" s="219">
        <v>10838</v>
      </c>
      <c r="AO195" s="219">
        <v>10492</v>
      </c>
      <c r="AP195" s="219">
        <v>10207</v>
      </c>
      <c r="AQ195" s="219">
        <v>9932</v>
      </c>
      <c r="AR195" s="219">
        <v>9665</v>
      </c>
      <c r="AS195" s="219">
        <v>9405</v>
      </c>
      <c r="AT195" s="219">
        <v>8937.3636363636397</v>
      </c>
      <c r="AU195" s="219">
        <v>8604.9545454545496</v>
      </c>
    </row>
    <row r="196" spans="1:47" x14ac:dyDescent="0.3">
      <c r="A196" s="277"/>
      <c r="B196" s="278"/>
      <c r="C196" s="278"/>
      <c r="D196" s="278"/>
      <c r="E196" s="278"/>
      <c r="F196" s="278"/>
      <c r="G196" s="278"/>
      <c r="H196" s="278"/>
      <c r="I196" s="278"/>
      <c r="J196" s="278"/>
      <c r="K196" s="278"/>
      <c r="L196" s="278"/>
      <c r="M196" s="278"/>
      <c r="N196" s="278"/>
      <c r="O196" s="278"/>
      <c r="P196" s="278"/>
      <c r="Q196" s="278"/>
      <c r="R196" s="278"/>
      <c r="S196" s="278"/>
      <c r="T196" s="278"/>
      <c r="U196" s="278"/>
      <c r="V196" s="278"/>
      <c r="Y196" s="219"/>
      <c r="Z196" s="229" t="s">
        <v>115</v>
      </c>
      <c r="AA196" s="219">
        <v>15496</v>
      </c>
      <c r="AB196" s="219">
        <v>15339</v>
      </c>
      <c r="AC196" s="219">
        <v>15202</v>
      </c>
      <c r="AD196" s="219">
        <v>15223</v>
      </c>
      <c r="AE196" s="219">
        <v>14821</v>
      </c>
      <c r="AF196" s="219">
        <v>14640</v>
      </c>
      <c r="AG196" s="219">
        <v>14585</v>
      </c>
      <c r="AH196" s="219">
        <v>14382</v>
      </c>
      <c r="AI196" s="219">
        <v>14058</v>
      </c>
      <c r="AJ196" s="219">
        <v>13638</v>
      </c>
      <c r="AK196" s="219">
        <v>13268</v>
      </c>
      <c r="AL196" s="219">
        <v>12938</v>
      </c>
      <c r="AM196" s="219">
        <v>12719</v>
      </c>
      <c r="AN196" s="219">
        <v>12500</v>
      </c>
      <c r="AO196" s="219">
        <v>11944</v>
      </c>
      <c r="AP196" s="219">
        <v>11801</v>
      </c>
      <c r="AQ196" s="219">
        <v>11434</v>
      </c>
      <c r="AR196" s="219">
        <v>11355</v>
      </c>
      <c r="AS196" s="219">
        <v>10728</v>
      </c>
      <c r="AT196" s="219">
        <v>10525.7454545455</v>
      </c>
      <c r="AU196" s="219">
        <v>10213.627272727301</v>
      </c>
    </row>
    <row r="197" spans="1:47" x14ac:dyDescent="0.3">
      <c r="A197" s="277"/>
      <c r="B197" s="278"/>
      <c r="C197" s="278"/>
      <c r="D197" s="278"/>
      <c r="E197" s="278"/>
      <c r="F197" s="278"/>
      <c r="G197" s="278"/>
      <c r="H197" s="278"/>
      <c r="I197" s="278"/>
      <c r="J197" s="278"/>
      <c r="K197" s="278"/>
      <c r="L197" s="278"/>
      <c r="M197" s="278"/>
      <c r="N197" s="278"/>
      <c r="O197" s="278"/>
      <c r="P197" s="278"/>
      <c r="Q197" s="278"/>
      <c r="R197" s="278"/>
      <c r="S197" s="278"/>
      <c r="T197" s="278"/>
      <c r="U197" s="278"/>
      <c r="V197" s="278"/>
      <c r="Y197" s="219"/>
      <c r="Z197" s="229" t="s">
        <v>112</v>
      </c>
      <c r="AA197" s="219">
        <f>AA196/AA195</f>
        <v>1.0418179373403254</v>
      </c>
      <c r="AB197" s="219">
        <f t="shared" ref="AB197:AU197" si="92">AB196/AB195</f>
        <v>1.0493945406034071</v>
      </c>
      <c r="AC197" s="219">
        <f t="shared" si="92"/>
        <v>1.0572362473050978</v>
      </c>
      <c r="AD197" s="219">
        <f t="shared" si="92"/>
        <v>1.0771244604825585</v>
      </c>
      <c r="AE197" s="219">
        <f t="shared" si="92"/>
        <v>1.0684111880046137</v>
      </c>
      <c r="AF197" s="219">
        <f t="shared" si="92"/>
        <v>1.0742588787789844</v>
      </c>
      <c r="AG197" s="219">
        <f t="shared" si="92"/>
        <v>1.0913648608201136</v>
      </c>
      <c r="AH197" s="219">
        <f t="shared" si="92"/>
        <v>1.1014781343340736</v>
      </c>
      <c r="AI197" s="219">
        <f t="shared" si="92"/>
        <v>1.1047544204322199</v>
      </c>
      <c r="AJ197" s="219">
        <f t="shared" si="92"/>
        <v>1.107789781496223</v>
      </c>
      <c r="AK197" s="219">
        <f t="shared" si="92"/>
        <v>1.1125272513835318</v>
      </c>
      <c r="AL197" s="219">
        <f t="shared" si="92"/>
        <v>1.1195915541709933</v>
      </c>
      <c r="AM197" s="219">
        <f t="shared" si="92"/>
        <v>1.1363352095059411</v>
      </c>
      <c r="AN197" s="219">
        <f t="shared" si="92"/>
        <v>1.1533493264439934</v>
      </c>
      <c r="AO197" s="219">
        <f t="shared" si="92"/>
        <v>1.1383911551658406</v>
      </c>
      <c r="AP197" s="219">
        <f t="shared" si="92"/>
        <v>1.1561673361418634</v>
      </c>
      <c r="AQ197" s="219">
        <f t="shared" si="92"/>
        <v>1.1512283527990335</v>
      </c>
      <c r="AR197" s="219">
        <f t="shared" si="92"/>
        <v>1.1748577340920849</v>
      </c>
      <c r="AS197" s="219">
        <f t="shared" si="92"/>
        <v>1.1406698564593301</v>
      </c>
      <c r="AT197" s="219">
        <f t="shared" si="92"/>
        <v>1.1777237542085877</v>
      </c>
      <c r="AU197" s="219">
        <f t="shared" si="92"/>
        <v>1.1869472661099076</v>
      </c>
    </row>
    <row r="198" spans="1:47" x14ac:dyDescent="0.3">
      <c r="A198" s="277"/>
      <c r="B198" s="278"/>
      <c r="C198" s="278"/>
      <c r="D198" s="278"/>
      <c r="E198" s="278"/>
      <c r="F198" s="278"/>
      <c r="G198" s="278"/>
      <c r="H198" s="278"/>
      <c r="I198" s="278"/>
      <c r="J198" s="278"/>
      <c r="K198" s="278"/>
      <c r="L198" s="278"/>
      <c r="M198" s="278"/>
      <c r="N198" s="278"/>
      <c r="O198" s="278"/>
      <c r="P198" s="278"/>
      <c r="Q198" s="278"/>
      <c r="R198" s="278"/>
      <c r="S198" s="278"/>
      <c r="T198" s="278"/>
      <c r="U198" s="278"/>
      <c r="V198" s="278"/>
      <c r="Y198" s="219"/>
      <c r="Z198" s="229" t="s">
        <v>113</v>
      </c>
      <c r="AA198" s="219">
        <v>14346</v>
      </c>
      <c r="AB198" s="219">
        <v>13890</v>
      </c>
      <c r="AC198" s="219">
        <v>13568</v>
      </c>
      <c r="AD198" s="219">
        <v>13278</v>
      </c>
      <c r="AE198" s="219">
        <v>12929</v>
      </c>
      <c r="AF198" s="219">
        <v>12544</v>
      </c>
      <c r="AG198" s="219">
        <v>12249</v>
      </c>
      <c r="AH198" s="219">
        <v>11879</v>
      </c>
      <c r="AI198" s="219">
        <v>11496</v>
      </c>
      <c r="AJ198" s="219">
        <v>11103</v>
      </c>
      <c r="AK198" s="219">
        <v>10767</v>
      </c>
      <c r="AL198" s="219">
        <v>10446</v>
      </c>
      <c r="AM198" s="219">
        <v>10201</v>
      </c>
      <c r="AN198" s="219">
        <v>9942</v>
      </c>
      <c r="AO198" s="219">
        <v>9590</v>
      </c>
      <c r="AP198" s="219">
        <v>9270</v>
      </c>
      <c r="AQ198" s="219">
        <v>9082</v>
      </c>
      <c r="AR198" s="219">
        <v>8810</v>
      </c>
      <c r="AS198" s="219">
        <v>8554</v>
      </c>
      <c r="AT198" s="219">
        <v>8192.8181818181802</v>
      </c>
      <c r="AU198" s="219">
        <v>7902.8181818181802</v>
      </c>
    </row>
    <row r="199" spans="1:47" x14ac:dyDescent="0.3">
      <c r="A199" s="277"/>
      <c r="B199" s="278"/>
      <c r="C199" s="278"/>
      <c r="D199" s="278"/>
      <c r="E199" s="278"/>
      <c r="F199" s="278"/>
      <c r="G199" s="278"/>
      <c r="H199" s="278"/>
      <c r="I199" s="278"/>
      <c r="J199" s="278"/>
      <c r="K199" s="278"/>
      <c r="L199" s="278"/>
      <c r="M199" s="278"/>
      <c r="N199" s="278"/>
      <c r="O199" s="278"/>
      <c r="P199" s="278"/>
      <c r="Q199" s="278"/>
      <c r="R199" s="278"/>
      <c r="S199" s="278"/>
      <c r="T199" s="278"/>
      <c r="U199" s="278"/>
      <c r="V199" s="278"/>
      <c r="Y199" s="219"/>
      <c r="Z199" s="229" t="s">
        <v>112</v>
      </c>
      <c r="AA199" s="219">
        <f>AA198/AA195</f>
        <v>0.96450181524808387</v>
      </c>
      <c r="AB199" s="219">
        <f t="shared" ref="AB199:AS199" si="93">AB198/AB195</f>
        <v>0.95026339194089071</v>
      </c>
      <c r="AC199" s="219">
        <f t="shared" si="93"/>
        <v>0.94359830308088188</v>
      </c>
      <c r="AD199" s="219">
        <f t="shared" si="93"/>
        <v>0.93950329017193801</v>
      </c>
      <c r="AE199" s="219">
        <f t="shared" si="93"/>
        <v>0.93202133794694353</v>
      </c>
      <c r="AF199" s="219">
        <f t="shared" si="93"/>
        <v>0.92045788083357793</v>
      </c>
      <c r="AG199" s="219">
        <f t="shared" si="93"/>
        <v>0.91656689613888054</v>
      </c>
      <c r="AH199" s="219">
        <f t="shared" si="93"/>
        <v>0.90978019453166881</v>
      </c>
      <c r="AI199" s="219">
        <f t="shared" si="93"/>
        <v>0.90341846758349709</v>
      </c>
      <c r="AJ199" s="219">
        <f t="shared" si="93"/>
        <v>0.90187637072536753</v>
      </c>
      <c r="AK199" s="219">
        <f t="shared" si="93"/>
        <v>0.90281737380513161</v>
      </c>
      <c r="AL199" s="219">
        <f t="shared" si="93"/>
        <v>0.90394600207684317</v>
      </c>
      <c r="AM199" s="219">
        <f t="shared" si="93"/>
        <v>0.91137317966586262</v>
      </c>
      <c r="AN199" s="219">
        <f t="shared" si="93"/>
        <v>0.91732792028049459</v>
      </c>
      <c r="AO199" s="219">
        <f t="shared" si="93"/>
        <v>0.91402973694243228</v>
      </c>
      <c r="AP199" s="219">
        <f t="shared" si="93"/>
        <v>0.90820025472714805</v>
      </c>
      <c r="AQ199" s="219">
        <f t="shared" si="93"/>
        <v>0.91441804269029403</v>
      </c>
      <c r="AR199" s="219">
        <f t="shared" si="93"/>
        <v>0.91153647180548369</v>
      </c>
      <c r="AS199" s="219">
        <f t="shared" si="93"/>
        <v>0.90951621477937272</v>
      </c>
      <c r="AT199" s="219">
        <f>AT198/AT195</f>
        <v>0.91669294382113853</v>
      </c>
      <c r="AU199" s="219">
        <f>AU198/AU195</f>
        <v>0.9184032454875356</v>
      </c>
    </row>
    <row r="200" spans="1:47" ht="15" thickBot="1" x14ac:dyDescent="0.35">
      <c r="A200" s="277"/>
      <c r="B200" s="278"/>
      <c r="C200" s="278"/>
      <c r="D200" s="278"/>
      <c r="E200" s="278"/>
      <c r="F200" s="278"/>
      <c r="G200" s="278"/>
      <c r="H200" s="278"/>
      <c r="I200" s="278"/>
      <c r="J200" s="278"/>
      <c r="K200" s="278"/>
      <c r="L200" s="278"/>
      <c r="M200" s="278"/>
      <c r="N200" s="278"/>
      <c r="O200" s="278"/>
      <c r="P200" s="278"/>
      <c r="Q200" s="278"/>
      <c r="R200" s="278"/>
      <c r="S200" s="278"/>
      <c r="T200" s="278"/>
      <c r="U200" s="278"/>
      <c r="V200" s="278"/>
      <c r="Y200" s="219"/>
      <c r="Z200" s="219"/>
      <c r="AA200" s="219"/>
      <c r="AB200" s="219"/>
      <c r="AC200" s="219"/>
      <c r="AD200" s="219"/>
      <c r="AE200" s="219"/>
      <c r="AF200" s="219"/>
      <c r="AG200" s="219"/>
      <c r="AH200" s="219"/>
      <c r="AI200" s="219"/>
      <c r="AJ200" s="219"/>
      <c r="AK200" s="219"/>
      <c r="AL200" s="219"/>
      <c r="AM200" s="219"/>
      <c r="AN200" s="219"/>
      <c r="AO200" s="219"/>
      <c r="AP200" s="219"/>
      <c r="AQ200" s="219"/>
      <c r="AR200" s="219"/>
      <c r="AS200" s="219"/>
      <c r="AT200" s="219"/>
      <c r="AU200" s="219"/>
    </row>
    <row r="201" spans="1:47" x14ac:dyDescent="0.3">
      <c r="A201" s="277"/>
      <c r="B201" s="278"/>
      <c r="C201" s="278"/>
      <c r="D201" s="278"/>
      <c r="E201" s="278"/>
      <c r="F201" s="278"/>
      <c r="G201" s="278"/>
      <c r="H201" s="278"/>
      <c r="I201" s="278"/>
      <c r="J201" s="278"/>
      <c r="K201" s="278"/>
      <c r="L201" s="278"/>
      <c r="M201" s="278"/>
      <c r="N201" s="278"/>
      <c r="O201" s="278"/>
      <c r="P201" s="278"/>
      <c r="Q201" s="278"/>
      <c r="R201" s="278"/>
      <c r="S201" s="278"/>
      <c r="T201" s="278"/>
      <c r="U201" s="278"/>
      <c r="V201" s="278"/>
      <c r="Y201" s="219"/>
      <c r="Z201" s="219"/>
      <c r="AA201" s="221">
        <v>2020</v>
      </c>
      <c r="AB201" s="221">
        <v>2021</v>
      </c>
      <c r="AC201" s="221">
        <v>2022</v>
      </c>
      <c r="AD201" s="221">
        <v>2023</v>
      </c>
      <c r="AE201" s="221">
        <v>2024</v>
      </c>
      <c r="AF201" s="221">
        <v>2025</v>
      </c>
      <c r="AG201" s="221">
        <v>2026</v>
      </c>
      <c r="AH201" s="221">
        <v>2027</v>
      </c>
      <c r="AI201" s="221">
        <v>2028</v>
      </c>
      <c r="AJ201" s="221">
        <v>2029</v>
      </c>
      <c r="AK201" s="221">
        <v>2030</v>
      </c>
      <c r="AL201" s="221">
        <v>2031</v>
      </c>
      <c r="AM201" s="221">
        <v>2032</v>
      </c>
      <c r="AN201" s="221">
        <v>2033</v>
      </c>
      <c r="AO201" s="221">
        <v>2034</v>
      </c>
      <c r="AP201" s="221">
        <v>2035</v>
      </c>
      <c r="AQ201" s="221">
        <v>2036</v>
      </c>
      <c r="AR201" s="221">
        <v>2037</v>
      </c>
      <c r="AS201" s="221">
        <v>2038</v>
      </c>
      <c r="AT201" s="221">
        <v>2039</v>
      </c>
      <c r="AU201" s="222">
        <v>2040</v>
      </c>
    </row>
    <row r="202" spans="1:47" x14ac:dyDescent="0.3">
      <c r="A202" s="277"/>
      <c r="B202" s="278"/>
      <c r="C202" s="278"/>
      <c r="D202" s="278"/>
      <c r="E202" s="278"/>
      <c r="F202" s="278"/>
      <c r="G202" s="278"/>
      <c r="H202" s="278"/>
      <c r="I202" s="278"/>
      <c r="J202" s="278"/>
      <c r="K202" s="278"/>
      <c r="L202" s="278"/>
      <c r="M202" s="278"/>
      <c r="N202" s="278"/>
      <c r="O202" s="278"/>
      <c r="P202" s="278"/>
      <c r="Q202" s="278"/>
      <c r="R202" s="278"/>
      <c r="S202" s="278"/>
      <c r="T202" s="278"/>
      <c r="U202" s="278"/>
      <c r="V202" s="278"/>
      <c r="Y202" s="219"/>
      <c r="Z202" s="219"/>
      <c r="AA202" s="219"/>
      <c r="AB202" s="219"/>
      <c r="AC202" s="229" t="s">
        <v>114</v>
      </c>
      <c r="AD202" s="219"/>
      <c r="AE202" s="219"/>
      <c r="AF202" s="219"/>
      <c r="AG202" s="219"/>
      <c r="AH202" s="219"/>
      <c r="AI202" s="219"/>
      <c r="AJ202" s="219"/>
      <c r="AK202" s="219"/>
      <c r="AL202" s="219"/>
      <c r="AM202" s="219"/>
      <c r="AN202" s="219"/>
      <c r="AO202" s="219"/>
      <c r="AP202" s="219"/>
      <c r="AQ202" s="219"/>
      <c r="AR202" s="219"/>
      <c r="AS202" s="219"/>
      <c r="AT202" s="219"/>
      <c r="AU202" s="219"/>
    </row>
    <row r="203" spans="1:47" x14ac:dyDescent="0.3">
      <c r="A203" s="277"/>
      <c r="B203" s="278"/>
      <c r="C203" s="278"/>
      <c r="D203" s="278"/>
      <c r="E203" s="278"/>
      <c r="F203" s="278"/>
      <c r="G203" s="278"/>
      <c r="H203" s="278"/>
      <c r="I203" s="278"/>
      <c r="J203" s="278"/>
      <c r="K203" s="278"/>
      <c r="L203" s="278"/>
      <c r="M203" s="278"/>
      <c r="N203" s="278"/>
      <c r="O203" s="278"/>
      <c r="P203" s="278"/>
      <c r="Q203" s="278"/>
      <c r="R203" s="278"/>
      <c r="S203" s="278"/>
      <c r="T203" s="278"/>
      <c r="U203" s="278"/>
      <c r="V203" s="278"/>
      <c r="Y203" s="219"/>
      <c r="Z203" s="229" t="s">
        <v>111</v>
      </c>
      <c r="AA203" s="219">
        <v>14455</v>
      </c>
      <c r="AB203" s="219">
        <v>13963</v>
      </c>
      <c r="AC203" s="219">
        <v>13156</v>
      </c>
      <c r="AD203" s="219">
        <v>12861</v>
      </c>
      <c r="AE203" s="219">
        <v>12546</v>
      </c>
      <c r="AF203" s="219">
        <v>12250</v>
      </c>
      <c r="AG203" s="219">
        <v>11928</v>
      </c>
      <c r="AH203" s="219">
        <v>11560</v>
      </c>
      <c r="AI203" s="219">
        <v>11160</v>
      </c>
      <c r="AJ203" s="219">
        <v>10681</v>
      </c>
      <c r="AK203" s="219">
        <v>10223</v>
      </c>
      <c r="AL203" s="219">
        <v>9776</v>
      </c>
      <c r="AM203" s="219">
        <v>9328</v>
      </c>
      <c r="AN203" s="219">
        <v>8894</v>
      </c>
      <c r="AO203" s="219">
        <v>8461</v>
      </c>
      <c r="AP203" s="219">
        <v>8085</v>
      </c>
      <c r="AQ203" s="219">
        <v>7711</v>
      </c>
      <c r="AR203" s="219">
        <v>7350</v>
      </c>
      <c r="AS203" s="219">
        <v>6989</v>
      </c>
      <c r="AT203" s="219">
        <v>6461.7818181818202</v>
      </c>
      <c r="AU203" s="219">
        <v>6043.9272727272701</v>
      </c>
    </row>
    <row r="204" spans="1:47" x14ac:dyDescent="0.3">
      <c r="Y204" s="219"/>
      <c r="Z204" s="229" t="s">
        <v>115</v>
      </c>
      <c r="AA204" s="219">
        <v>15077</v>
      </c>
      <c r="AB204" s="219">
        <v>14686</v>
      </c>
      <c r="AC204" s="219">
        <v>13980</v>
      </c>
      <c r="AD204" s="219">
        <v>13951</v>
      </c>
      <c r="AE204" s="219">
        <v>13495</v>
      </c>
      <c r="AF204" s="219">
        <v>13261</v>
      </c>
      <c r="AG204" s="219">
        <v>13149</v>
      </c>
      <c r="AH204" s="219">
        <v>12885</v>
      </c>
      <c r="AI204" s="219">
        <v>12494</v>
      </c>
      <c r="AJ204" s="219">
        <v>12008</v>
      </c>
      <c r="AK204" s="219">
        <v>11565</v>
      </c>
      <c r="AL204" s="219">
        <v>11158</v>
      </c>
      <c r="AM204" s="219">
        <v>10855</v>
      </c>
      <c r="AN204" s="219">
        <v>10556</v>
      </c>
      <c r="AO204" s="219">
        <v>9912</v>
      </c>
      <c r="AP204" s="219">
        <v>9679</v>
      </c>
      <c r="AQ204" s="219">
        <v>9213</v>
      </c>
      <c r="AR204" s="219">
        <v>9041</v>
      </c>
      <c r="AS204" s="219">
        <v>8311</v>
      </c>
      <c r="AT204" s="219">
        <v>8049.8181818181802</v>
      </c>
      <c r="AU204" s="219">
        <v>7652.1818181818198</v>
      </c>
    </row>
    <row r="205" spans="1:47" x14ac:dyDescent="0.3">
      <c r="Y205" s="219"/>
      <c r="Z205" s="229" t="s">
        <v>112</v>
      </c>
      <c r="AA205" s="219">
        <f>AA204/AA203</f>
        <v>1.0430300933932894</v>
      </c>
      <c r="AB205" s="219">
        <f t="shared" ref="AB205:AU205" si="94">AB204/AB203</f>
        <v>1.0517797035021128</v>
      </c>
      <c r="AC205" s="219">
        <f t="shared" si="94"/>
        <v>1.0626330191547584</v>
      </c>
      <c r="AD205" s="219">
        <f t="shared" si="94"/>
        <v>1.084752352072156</v>
      </c>
      <c r="AE205" s="219">
        <f t="shared" si="94"/>
        <v>1.0756416387693288</v>
      </c>
      <c r="AF205" s="219">
        <f t="shared" si="94"/>
        <v>1.0825306122448979</v>
      </c>
      <c r="AG205" s="219">
        <f t="shared" si="94"/>
        <v>1.102364185110664</v>
      </c>
      <c r="AH205" s="219">
        <f t="shared" si="94"/>
        <v>1.1146193771626298</v>
      </c>
      <c r="AI205" s="219">
        <f t="shared" si="94"/>
        <v>1.1195340501792115</v>
      </c>
      <c r="AJ205" s="219">
        <f t="shared" si="94"/>
        <v>1.1242393034360079</v>
      </c>
      <c r="AK205" s="219">
        <f t="shared" si="94"/>
        <v>1.1312726205614789</v>
      </c>
      <c r="AL205" s="219">
        <f t="shared" si="94"/>
        <v>1.1413666121112929</v>
      </c>
      <c r="AM205" s="219">
        <f t="shared" si="94"/>
        <v>1.1637006861063466</v>
      </c>
      <c r="AN205" s="219">
        <f t="shared" si="94"/>
        <v>1.1868675511580842</v>
      </c>
      <c r="AO205" s="219">
        <f t="shared" si="94"/>
        <v>1.1714927313556318</v>
      </c>
      <c r="AP205" s="219">
        <f t="shared" si="94"/>
        <v>1.1971552257266542</v>
      </c>
      <c r="AQ205" s="219">
        <f t="shared" si="94"/>
        <v>1.1947866683957982</v>
      </c>
      <c r="AR205" s="219">
        <f t="shared" si="94"/>
        <v>1.2300680272108844</v>
      </c>
      <c r="AS205" s="219">
        <f t="shared" si="94"/>
        <v>1.1891543854628703</v>
      </c>
      <c r="AT205" s="219">
        <f t="shared" si="94"/>
        <v>1.2457582766363338</v>
      </c>
      <c r="AU205" s="219">
        <f t="shared" si="94"/>
        <v>1.2660942914901818</v>
      </c>
    </row>
    <row r="206" spans="1:47" x14ac:dyDescent="0.3">
      <c r="Y206" s="219"/>
      <c r="Z206" s="229" t="s">
        <v>113</v>
      </c>
      <c r="AA206" s="219">
        <v>13927</v>
      </c>
      <c r="AB206" s="219">
        <v>13237</v>
      </c>
      <c r="AC206" s="219">
        <v>12345</v>
      </c>
      <c r="AD206" s="219">
        <v>12005</v>
      </c>
      <c r="AE206" s="219">
        <v>11603</v>
      </c>
      <c r="AF206" s="219">
        <v>11165</v>
      </c>
      <c r="AG206" s="219">
        <v>10813</v>
      </c>
      <c r="AH206" s="219">
        <v>10382</v>
      </c>
      <c r="AI206" s="219">
        <v>9931</v>
      </c>
      <c r="AJ206" s="219">
        <v>9481</v>
      </c>
      <c r="AK206" s="219">
        <v>9064</v>
      </c>
      <c r="AL206" s="219">
        <v>8666</v>
      </c>
      <c r="AM206" s="219">
        <v>8337</v>
      </c>
      <c r="AN206" s="219">
        <v>7999</v>
      </c>
      <c r="AO206" s="219">
        <v>7559</v>
      </c>
      <c r="AP206" s="219">
        <v>7148</v>
      </c>
      <c r="AQ206" s="219">
        <v>6861</v>
      </c>
      <c r="AR206" s="219">
        <v>6495</v>
      </c>
      <c r="AS206" s="219">
        <v>6137</v>
      </c>
      <c r="AT206" s="219">
        <v>5715.98181818182</v>
      </c>
      <c r="AU206" s="219">
        <v>5340.1909090909103</v>
      </c>
    </row>
    <row r="207" spans="1:47" x14ac:dyDescent="0.3">
      <c r="Y207" s="219"/>
      <c r="Z207" s="229" t="s">
        <v>112</v>
      </c>
      <c r="AA207" s="219">
        <f>AA206/AA203</f>
        <v>0.96347284676582501</v>
      </c>
      <c r="AB207" s="219">
        <f t="shared" ref="AB207:AU207" si="95">AB206/AB203</f>
        <v>0.94800544295638478</v>
      </c>
      <c r="AC207" s="219">
        <f t="shared" si="95"/>
        <v>0.93835512313773184</v>
      </c>
      <c r="AD207" s="219">
        <f t="shared" si="95"/>
        <v>0.93344218956535263</v>
      </c>
      <c r="AE207" s="219">
        <f t="shared" si="95"/>
        <v>0.92483660130718959</v>
      </c>
      <c r="AF207" s="219">
        <f t="shared" si="95"/>
        <v>0.91142857142857148</v>
      </c>
      <c r="AG207" s="219">
        <f t="shared" si="95"/>
        <v>0.9065224681421864</v>
      </c>
      <c r="AH207" s="219">
        <f t="shared" si="95"/>
        <v>0.89809688581314884</v>
      </c>
      <c r="AI207" s="219">
        <f t="shared" si="95"/>
        <v>0.88987455197132614</v>
      </c>
      <c r="AJ207" s="219">
        <f t="shared" si="95"/>
        <v>0.88765096901039231</v>
      </c>
      <c r="AK207" s="219">
        <f t="shared" si="95"/>
        <v>0.88662819133326809</v>
      </c>
      <c r="AL207" s="219">
        <f t="shared" si="95"/>
        <v>0.88645662847790507</v>
      </c>
      <c r="AM207" s="219">
        <f t="shared" si="95"/>
        <v>0.89376072041166377</v>
      </c>
      <c r="AN207" s="219">
        <f t="shared" si="95"/>
        <v>0.89937036204182597</v>
      </c>
      <c r="AO207" s="219">
        <f t="shared" si="95"/>
        <v>0.89339321593192289</v>
      </c>
      <c r="AP207" s="219">
        <f t="shared" si="95"/>
        <v>0.88410636982065549</v>
      </c>
      <c r="AQ207" s="219">
        <f t="shared" si="95"/>
        <v>0.88976786409026065</v>
      </c>
      <c r="AR207" s="219">
        <f t="shared" si="95"/>
        <v>0.88367346938775515</v>
      </c>
      <c r="AS207" s="219">
        <f t="shared" si="95"/>
        <v>0.87809414794677354</v>
      </c>
      <c r="AT207" s="219">
        <f t="shared" si="95"/>
        <v>0.88458291830567426</v>
      </c>
      <c r="AU207" s="219">
        <f t="shared" si="95"/>
        <v>0.88356306555641184</v>
      </c>
    </row>
    <row r="208" spans="1:47" x14ac:dyDescent="0.3">
      <c r="Y208" s="219"/>
      <c r="Z208" s="219"/>
      <c r="AA208" s="219"/>
      <c r="AB208" s="219"/>
      <c r="AC208" s="219"/>
      <c r="AD208" s="219"/>
      <c r="AE208" s="219"/>
      <c r="AF208" s="219"/>
      <c r="AG208" s="219"/>
      <c r="AH208" s="219"/>
      <c r="AI208" s="219"/>
      <c r="AJ208" s="219"/>
      <c r="AK208" s="219"/>
      <c r="AL208" s="219"/>
      <c r="AM208" s="219"/>
      <c r="AN208" s="219"/>
      <c r="AO208" s="219"/>
      <c r="AP208" s="219"/>
      <c r="AQ208" s="219"/>
      <c r="AR208" s="219"/>
      <c r="AS208" s="219"/>
      <c r="AT208" s="219"/>
      <c r="AU208" s="219"/>
    </row>
  </sheetData>
  <mergeCells count="29">
    <mergeCell ref="Z51:AU51"/>
    <mergeCell ref="Z75:AU75"/>
    <mergeCell ref="Z85:AU85"/>
    <mergeCell ref="Z1:AU1"/>
    <mergeCell ref="A45:V45"/>
    <mergeCell ref="Z17:AU17"/>
    <mergeCell ref="Z27:AU27"/>
    <mergeCell ref="A54:V54"/>
    <mergeCell ref="A17:V17"/>
    <mergeCell ref="A26:V26"/>
    <mergeCell ref="A35:V35"/>
    <mergeCell ref="Y2:Y13"/>
    <mergeCell ref="A1:V1"/>
    <mergeCell ref="Y18:Y24"/>
    <mergeCell ref="Y28:Y34"/>
    <mergeCell ref="Y35:Y41"/>
    <mergeCell ref="B80:V80"/>
    <mergeCell ref="B102:V102"/>
    <mergeCell ref="Y42:Y48"/>
    <mergeCell ref="Y52:Y58"/>
    <mergeCell ref="Y59:Y65"/>
    <mergeCell ref="Y66:Y72"/>
    <mergeCell ref="Y76:Y82"/>
    <mergeCell ref="C123:V123"/>
    <mergeCell ref="C144:V144"/>
    <mergeCell ref="G164:R164"/>
    <mergeCell ref="Y86:Y92"/>
    <mergeCell ref="Y93:Y99"/>
    <mergeCell ref="Y100:Y106"/>
  </mergeCells>
  <pageMargins left="0.7" right="0.7" top="0.75" bottom="0.75" header="0.3" footer="0.3"/>
  <pageSetup orientation="portrait" r:id="rId1"/>
  <ignoredErrors>
    <ignoredError sqref="AA182:AU182" formulaRange="1"/>
    <ignoredError sqref="C5:V5 C7:V7 B9:V9 B11:E11 U11:V11 H11:T11 F11:G11 F13:V13 C13:E13 AC80:AT80"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72BBC-976F-42C4-9F88-DBEE5176508F}">
  <sheetPr codeName="Sheet18">
    <tabColor theme="3"/>
  </sheetPr>
  <dimension ref="A46:D140"/>
  <sheetViews>
    <sheetView showGridLines="0" zoomScaleNormal="100" zoomScaleSheetLayoutView="50" workbookViewId="0">
      <selection activeCell="A67" sqref="A67"/>
    </sheetView>
  </sheetViews>
  <sheetFormatPr defaultRowHeight="14.4" x14ac:dyDescent="0.3"/>
  <cols>
    <col min="1" max="1" width="28.109375" bestFit="1" customWidth="1"/>
    <col min="2" max="2" width="15.109375" customWidth="1"/>
    <col min="3" max="3" width="12.33203125" bestFit="1" customWidth="1"/>
    <col min="4" max="4" width="12" customWidth="1"/>
  </cols>
  <sheetData>
    <row r="46" spans="1:4" x14ac:dyDescent="0.3">
      <c r="A46" s="3" t="s">
        <v>930</v>
      </c>
    </row>
    <row r="47" spans="1:4" x14ac:dyDescent="0.3">
      <c r="A47" s="241" t="s">
        <v>900</v>
      </c>
      <c r="B47" s="294">
        <f>D47*2/1000000</f>
        <v>150</v>
      </c>
      <c r="C47" s="241"/>
      <c r="D47" s="294">
        <v>75000000</v>
      </c>
    </row>
    <row r="48" spans="1:4" x14ac:dyDescent="0.3">
      <c r="A48" s="241" t="s">
        <v>20</v>
      </c>
      <c r="B48" s="294">
        <f t="shared" ref="B48:B53" si="0">D48*2/1000000</f>
        <v>150</v>
      </c>
      <c r="C48" s="241"/>
      <c r="D48" s="294">
        <v>75000000</v>
      </c>
    </row>
    <row r="49" spans="1:4" x14ac:dyDescent="0.3">
      <c r="A49" s="241" t="s">
        <v>1060</v>
      </c>
      <c r="B49" s="294">
        <f t="shared" si="0"/>
        <v>20</v>
      </c>
      <c r="C49" s="241"/>
      <c r="D49" s="294">
        <v>10000000</v>
      </c>
    </row>
    <row r="50" spans="1:4" x14ac:dyDescent="0.3">
      <c r="A50" s="241" t="s">
        <v>21</v>
      </c>
      <c r="B50" s="294">
        <f t="shared" si="0"/>
        <v>3</v>
      </c>
      <c r="C50" s="241"/>
      <c r="D50" s="294">
        <v>1500000</v>
      </c>
    </row>
    <row r="51" spans="1:4" x14ac:dyDescent="0.3">
      <c r="A51" s="241" t="s">
        <v>448</v>
      </c>
      <c r="B51" s="294">
        <f t="shared" si="0"/>
        <v>558</v>
      </c>
      <c r="C51" s="241"/>
      <c r="D51" s="294">
        <v>279000000</v>
      </c>
    </row>
    <row r="52" spans="1:4" x14ac:dyDescent="0.3">
      <c r="A52" s="241" t="s">
        <v>899</v>
      </c>
      <c r="B52" s="294">
        <f t="shared" si="0"/>
        <v>142</v>
      </c>
      <c r="C52" s="241"/>
      <c r="D52" s="294">
        <v>71000000</v>
      </c>
    </row>
    <row r="53" spans="1:4" x14ac:dyDescent="0.3">
      <c r="A53" s="241" t="s">
        <v>911</v>
      </c>
      <c r="B53" s="294">
        <f t="shared" si="0"/>
        <v>20</v>
      </c>
      <c r="C53" s="241"/>
      <c r="D53" s="294">
        <v>10000000</v>
      </c>
    </row>
    <row r="54" spans="1:4" x14ac:dyDescent="0.3">
      <c r="A54" s="241"/>
      <c r="B54" s="241"/>
      <c r="C54" s="241"/>
      <c r="D54" s="241"/>
    </row>
    <row r="55" spans="1:4" x14ac:dyDescent="0.3">
      <c r="A55" s="241"/>
      <c r="B55" s="241">
        <v>501023380.00595236</v>
      </c>
      <c r="C55" s="241"/>
      <c r="D55" s="241"/>
    </row>
    <row r="64" spans="1:4" x14ac:dyDescent="0.3">
      <c r="A64" s="295" t="s">
        <v>900</v>
      </c>
      <c r="B64" s="297">
        <v>747521130.964733</v>
      </c>
      <c r="C64" s="296">
        <f>B64/1000000</f>
        <v>747.52113096473306</v>
      </c>
      <c r="D64" s="241">
        <f>C64*0.2</f>
        <v>149.50422619294662</v>
      </c>
    </row>
    <row r="65" spans="1:4" x14ac:dyDescent="0.3">
      <c r="A65" s="295" t="s">
        <v>20</v>
      </c>
      <c r="B65" s="297">
        <v>749757407.84070349</v>
      </c>
      <c r="C65" s="296">
        <f t="shared" ref="C65:C69" si="1">B65/1000000</f>
        <v>749.75740784070354</v>
      </c>
      <c r="D65" s="241">
        <f t="shared" ref="D65:D70" si="2">C65*0.2</f>
        <v>149.95148156814071</v>
      </c>
    </row>
    <row r="66" spans="1:4" x14ac:dyDescent="0.3">
      <c r="A66" s="295" t="s">
        <v>1060</v>
      </c>
      <c r="B66" s="297">
        <v>0</v>
      </c>
      <c r="C66" s="296">
        <v>60</v>
      </c>
      <c r="D66" s="241">
        <f t="shared" si="2"/>
        <v>12</v>
      </c>
    </row>
    <row r="67" spans="1:4" x14ac:dyDescent="0.3">
      <c r="A67" s="295" t="s">
        <v>21</v>
      </c>
      <c r="B67" s="297">
        <v>15284768.600186419</v>
      </c>
      <c r="C67" s="296">
        <f t="shared" si="1"/>
        <v>15.284768600186419</v>
      </c>
      <c r="D67" s="241">
        <f t="shared" si="2"/>
        <v>3.0569537200372841</v>
      </c>
    </row>
    <row r="68" spans="1:4" x14ac:dyDescent="0.3">
      <c r="A68" s="295" t="s">
        <v>448</v>
      </c>
      <c r="B68" s="297">
        <v>2785375939.0768409</v>
      </c>
      <c r="C68" s="296">
        <f t="shared" si="1"/>
        <v>2785.375939076841</v>
      </c>
      <c r="D68" s="241">
        <f t="shared" si="2"/>
        <v>557.07518781536817</v>
      </c>
    </row>
    <row r="69" spans="1:4" x14ac:dyDescent="0.3">
      <c r="A69" s="295" t="s">
        <v>899</v>
      </c>
      <c r="B69" s="297">
        <v>712288070.41279769</v>
      </c>
      <c r="C69" s="296">
        <f t="shared" si="1"/>
        <v>712.28807041279765</v>
      </c>
      <c r="D69" s="241">
        <f t="shared" si="2"/>
        <v>142.45761408255953</v>
      </c>
    </row>
    <row r="70" spans="1:4" x14ac:dyDescent="0.3">
      <c r="A70" s="295" t="s">
        <v>911</v>
      </c>
      <c r="B70" s="297">
        <v>6483.1642618757915</v>
      </c>
      <c r="C70" s="296">
        <v>50</v>
      </c>
      <c r="D70" s="241">
        <f t="shared" si="2"/>
        <v>10</v>
      </c>
    </row>
    <row r="71" spans="1:4" x14ac:dyDescent="0.3">
      <c r="A71" s="241"/>
      <c r="B71" s="241"/>
      <c r="C71" s="241"/>
      <c r="D71" s="241"/>
    </row>
    <row r="72" spans="1:4" x14ac:dyDescent="0.3">
      <c r="A72" s="241"/>
      <c r="B72" s="241"/>
      <c r="C72" s="296">
        <f>SUM(C64:C70)</f>
        <v>5120.2273168952615</v>
      </c>
      <c r="D72" s="296">
        <f>SUM(D64:D70)</f>
        <v>1024.0454633790523</v>
      </c>
    </row>
    <row r="73" spans="1:4" x14ac:dyDescent="0.3">
      <c r="A73" s="241"/>
      <c r="B73" s="241"/>
      <c r="C73" s="241"/>
      <c r="D73" s="241"/>
    </row>
    <row r="74" spans="1:4" x14ac:dyDescent="0.3">
      <c r="A74" s="241"/>
      <c r="B74" s="241">
        <f>53/5</f>
        <v>10.6</v>
      </c>
      <c r="C74" s="241"/>
      <c r="D74" s="241"/>
    </row>
    <row r="120" spans="1:2" x14ac:dyDescent="0.3">
      <c r="A120" s="3" t="s">
        <v>11</v>
      </c>
    </row>
    <row r="121" spans="1:2" x14ac:dyDescent="0.3">
      <c r="A121" t="s">
        <v>22</v>
      </c>
      <c r="B121" s="9">
        <v>0.33</v>
      </c>
    </row>
    <row r="122" spans="1:2" x14ac:dyDescent="0.3">
      <c r="A122" t="s">
        <v>168</v>
      </c>
      <c r="B122" s="9">
        <v>0.19</v>
      </c>
    </row>
    <row r="123" spans="1:2" x14ac:dyDescent="0.3">
      <c r="A123" t="s">
        <v>20</v>
      </c>
      <c r="B123" s="9">
        <v>0.13</v>
      </c>
    </row>
    <row r="124" spans="1:2" x14ac:dyDescent="0.3">
      <c r="A124" t="s">
        <v>300</v>
      </c>
      <c r="B124" s="9">
        <v>0.13</v>
      </c>
    </row>
    <row r="125" spans="1:2" x14ac:dyDescent="0.3">
      <c r="A125" t="s">
        <v>21</v>
      </c>
      <c r="B125" s="9">
        <v>0.09</v>
      </c>
    </row>
    <row r="126" spans="1:2" x14ac:dyDescent="0.3">
      <c r="A126" t="s">
        <v>19</v>
      </c>
      <c r="B126" s="9">
        <v>7.0000000000000007E-2</v>
      </c>
    </row>
    <row r="127" spans="1:2" x14ac:dyDescent="0.3">
      <c r="A127" t="s">
        <v>388</v>
      </c>
      <c r="B127" s="9">
        <v>0.05</v>
      </c>
    </row>
    <row r="128" spans="1:2" x14ac:dyDescent="0.3">
      <c r="A128" t="s">
        <v>1020</v>
      </c>
      <c r="B128" s="9">
        <v>0.01</v>
      </c>
    </row>
    <row r="130" spans="1:2" x14ac:dyDescent="0.3">
      <c r="A130" s="3" t="s">
        <v>18</v>
      </c>
    </row>
    <row r="131" spans="1:2" x14ac:dyDescent="0.3">
      <c r="A131" t="s">
        <v>900</v>
      </c>
      <c r="B131" s="9">
        <v>0.54184045039430029</v>
      </c>
    </row>
    <row r="132" spans="1:2" x14ac:dyDescent="0.3">
      <c r="A132" t="s">
        <v>911</v>
      </c>
      <c r="B132" s="9">
        <v>0.23765824065639074</v>
      </c>
    </row>
    <row r="133" spans="1:2" x14ac:dyDescent="0.3">
      <c r="A133" t="s">
        <v>20</v>
      </c>
      <c r="B133" s="9">
        <v>0.21025284073243997</v>
      </c>
    </row>
    <row r="134" spans="1:2" x14ac:dyDescent="0.3">
      <c r="A134" t="s">
        <v>21</v>
      </c>
      <c r="B134" s="9">
        <v>9.946685736205026E-3</v>
      </c>
    </row>
    <row r="136" spans="1:2" x14ac:dyDescent="0.3">
      <c r="A136" s="3" t="s">
        <v>60</v>
      </c>
    </row>
    <row r="137" spans="1:2" x14ac:dyDescent="0.3">
      <c r="A137" t="s">
        <v>1030</v>
      </c>
      <c r="B137" s="9">
        <v>0.5</v>
      </c>
    </row>
    <row r="138" spans="1:2" x14ac:dyDescent="0.3">
      <c r="A138" t="s">
        <v>1031</v>
      </c>
      <c r="B138" s="9">
        <v>0.28999999999999998</v>
      </c>
    </row>
    <row r="139" spans="1:2" x14ac:dyDescent="0.3">
      <c r="A139" t="s">
        <v>1032</v>
      </c>
      <c r="B139" s="9">
        <v>0.17</v>
      </c>
    </row>
    <row r="140" spans="1:2" x14ac:dyDescent="0.3">
      <c r="A140" t="s">
        <v>8</v>
      </c>
      <c r="B140" s="9">
        <v>0.04</v>
      </c>
    </row>
  </sheetData>
  <pageMargins left="0.7" right="0.7" top="0.75" bottom="0.75" header="0.3" footer="0.3"/>
  <pageSetup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6CB29-35F3-46B6-A3E6-D7DF68996A51}">
  <sheetPr codeName="Sheet15"/>
  <dimension ref="J2:Y39"/>
  <sheetViews>
    <sheetView topLeftCell="A4" workbookViewId="0">
      <selection activeCell="Z32" sqref="Z32"/>
    </sheetView>
  </sheetViews>
  <sheetFormatPr defaultRowHeight="14.4" x14ac:dyDescent="0.3"/>
  <sheetData>
    <row r="2" spans="25:25" x14ac:dyDescent="0.3">
      <c r="Y2" t="s">
        <v>62</v>
      </c>
    </row>
    <row r="26" spans="10:24" x14ac:dyDescent="0.3">
      <c r="K26" t="s">
        <v>3</v>
      </c>
      <c r="L26" t="s">
        <v>1</v>
      </c>
      <c r="M26" t="s">
        <v>66</v>
      </c>
      <c r="N26" t="s">
        <v>67</v>
      </c>
      <c r="O26" t="s">
        <v>68</v>
      </c>
      <c r="Q26" s="427"/>
      <c r="R26" s="427"/>
      <c r="S26" s="427"/>
    </row>
    <row r="27" spans="10:24" x14ac:dyDescent="0.3">
      <c r="K27" t="s">
        <v>63</v>
      </c>
      <c r="L27" t="s">
        <v>63</v>
      </c>
      <c r="M27" t="s">
        <v>65</v>
      </c>
      <c r="N27" t="s">
        <v>63</v>
      </c>
      <c r="O27" t="s">
        <v>64</v>
      </c>
      <c r="P27" t="s">
        <v>65</v>
      </c>
      <c r="Q27" t="s">
        <v>69</v>
      </c>
      <c r="R27" t="s">
        <v>65</v>
      </c>
      <c r="S27" t="s">
        <v>70</v>
      </c>
      <c r="T27" t="s">
        <v>71</v>
      </c>
      <c r="U27" t="s">
        <v>99</v>
      </c>
      <c r="X27" t="s">
        <v>84</v>
      </c>
    </row>
    <row r="28" spans="10:24" x14ac:dyDescent="0.3">
      <c r="J28">
        <v>2007</v>
      </c>
      <c r="K28">
        <v>7058</v>
      </c>
      <c r="L28">
        <v>8866</v>
      </c>
      <c r="M28">
        <v>3938</v>
      </c>
      <c r="N28">
        <v>20230</v>
      </c>
      <c r="O28">
        <v>3546</v>
      </c>
      <c r="P28">
        <f>$N28/(O28*8760)*1000</f>
        <v>0.65125796125031221</v>
      </c>
      <c r="Q28">
        <v>24636</v>
      </c>
      <c r="R28">
        <f>Q28/(O28*8760)*1000</f>
        <v>0.79309891909850183</v>
      </c>
      <c r="S28">
        <v>23720</v>
      </c>
      <c r="T28">
        <f>S28/(O28*8760)*1000</f>
        <v>0.76361042218771158</v>
      </c>
      <c r="U28">
        <f>O28*8.76</f>
        <v>31062.959999999999</v>
      </c>
      <c r="W28" t="s">
        <v>72</v>
      </c>
      <c r="X28">
        <v>391</v>
      </c>
    </row>
    <row r="29" spans="10:24" x14ac:dyDescent="0.3">
      <c r="J29">
        <v>2008</v>
      </c>
      <c r="K29">
        <v>6473</v>
      </c>
      <c r="L29">
        <v>8660</v>
      </c>
      <c r="M29">
        <v>3544</v>
      </c>
      <c r="N29">
        <v>19040</v>
      </c>
      <c r="O29">
        <v>3351</v>
      </c>
      <c r="P29">
        <f t="shared" ref="P29:P39" si="0">$N29/(O29*8760)*1000</f>
        <v>0.64861712376459557</v>
      </c>
      <c r="Q29">
        <v>23214</v>
      </c>
      <c r="R29">
        <f t="shared" ref="R29:R39" si="1">Q29/(O29*8760)*1000</f>
        <v>0.7908087138167712</v>
      </c>
      <c r="S29">
        <v>22337</v>
      </c>
      <c r="T29">
        <f t="shared" ref="T29:T39" si="2">S29/(O29*8760)*1000</f>
        <v>0.76093280953412668</v>
      </c>
      <c r="U29">
        <f t="shared" ref="U29:U39" si="3">O29*8.76</f>
        <v>29354.76</v>
      </c>
      <c r="W29" t="s">
        <v>73</v>
      </c>
      <c r="X29">
        <v>361</v>
      </c>
    </row>
    <row r="30" spans="10:24" x14ac:dyDescent="0.3">
      <c r="J30">
        <v>2009</v>
      </c>
      <c r="K30">
        <v>6673</v>
      </c>
      <c r="L30">
        <v>8568</v>
      </c>
      <c r="M30">
        <v>30294</v>
      </c>
      <c r="N30">
        <v>18704</v>
      </c>
      <c r="O30">
        <v>3404</v>
      </c>
      <c r="P30">
        <f t="shared" si="0"/>
        <v>0.6272502401150406</v>
      </c>
      <c r="Q30">
        <v>22989</v>
      </c>
      <c r="R30">
        <f t="shared" si="1"/>
        <v>0.77095037264781163</v>
      </c>
      <c r="S30">
        <v>22022</v>
      </c>
      <c r="T30">
        <f t="shared" si="2"/>
        <v>0.73852142791987929</v>
      </c>
      <c r="U30">
        <f t="shared" si="3"/>
        <v>29819.040000000001</v>
      </c>
      <c r="W30" t="s">
        <v>74</v>
      </c>
      <c r="X30">
        <v>427</v>
      </c>
    </row>
    <row r="31" spans="10:24" x14ac:dyDescent="0.3">
      <c r="J31">
        <v>2010</v>
      </c>
      <c r="K31">
        <v>6975</v>
      </c>
      <c r="L31">
        <v>8677</v>
      </c>
      <c r="M31">
        <v>2968</v>
      </c>
      <c r="N31">
        <v>18984</v>
      </c>
      <c r="O31">
        <v>3406</v>
      </c>
      <c r="P31">
        <f t="shared" si="0"/>
        <v>0.63626637923406726</v>
      </c>
      <c r="Q31">
        <v>23244</v>
      </c>
      <c r="R31">
        <f t="shared" si="1"/>
        <v>0.779044232981282</v>
      </c>
      <c r="S31">
        <v>22216</v>
      </c>
      <c r="T31">
        <f t="shared" si="2"/>
        <v>0.74458985888453633</v>
      </c>
      <c r="U31">
        <f t="shared" si="3"/>
        <v>29836.559999999998</v>
      </c>
      <c r="W31" t="s">
        <v>75</v>
      </c>
      <c r="X31">
        <v>454</v>
      </c>
    </row>
    <row r="32" spans="10:24" x14ac:dyDescent="0.3">
      <c r="J32">
        <v>2011</v>
      </c>
      <c r="K32">
        <v>6587</v>
      </c>
      <c r="L32">
        <v>8473</v>
      </c>
      <c r="M32">
        <v>2832</v>
      </c>
      <c r="N32">
        <v>18251</v>
      </c>
      <c r="O32">
        <v>3303</v>
      </c>
      <c r="P32">
        <f t="shared" si="0"/>
        <v>0.6307742926383515</v>
      </c>
      <c r="Q32">
        <v>22257</v>
      </c>
      <c r="R32">
        <f t="shared" si="1"/>
        <v>0.76922598385029806</v>
      </c>
      <c r="S32">
        <v>21284</v>
      </c>
      <c r="T32">
        <f t="shared" si="2"/>
        <v>0.73559805186097593</v>
      </c>
      <c r="U32">
        <f t="shared" si="3"/>
        <v>28934.28</v>
      </c>
      <c r="W32" t="s">
        <v>76</v>
      </c>
      <c r="X32">
        <v>511</v>
      </c>
    </row>
    <row r="33" spans="10:24" x14ac:dyDescent="0.3">
      <c r="J33">
        <v>2012</v>
      </c>
      <c r="K33">
        <v>6771</v>
      </c>
      <c r="L33">
        <v>8390</v>
      </c>
      <c r="M33">
        <v>2683</v>
      </c>
      <c r="N33">
        <v>18319</v>
      </c>
      <c r="O33">
        <v>3265</v>
      </c>
      <c r="P33">
        <f t="shared" si="0"/>
        <v>0.64049312271427283</v>
      </c>
      <c r="Q33">
        <v>22306</v>
      </c>
      <c r="R33">
        <f t="shared" si="1"/>
        <v>0.77989189340381937</v>
      </c>
      <c r="S33">
        <v>21297</v>
      </c>
      <c r="T33">
        <f t="shared" si="2"/>
        <v>0.74461390001888017</v>
      </c>
      <c r="U33">
        <f t="shared" si="3"/>
        <v>28601.399999999998</v>
      </c>
      <c r="W33" t="s">
        <v>77</v>
      </c>
      <c r="X33">
        <v>549</v>
      </c>
    </row>
    <row r="34" spans="10:24" x14ac:dyDescent="0.3">
      <c r="J34">
        <v>2013</v>
      </c>
      <c r="K34">
        <v>6320</v>
      </c>
      <c r="L34">
        <v>8621</v>
      </c>
      <c r="M34">
        <v>2504</v>
      </c>
      <c r="N34">
        <v>17793</v>
      </c>
      <c r="O34">
        <v>3159</v>
      </c>
      <c r="P34">
        <f t="shared" si="0"/>
        <v>0.64297701284002651</v>
      </c>
      <c r="Q34">
        <v>21493</v>
      </c>
      <c r="R34">
        <f t="shared" si="1"/>
        <v>0.7766821186405154</v>
      </c>
      <c r="S34">
        <v>20621</v>
      </c>
      <c r="T34">
        <f t="shared" si="2"/>
        <v>0.74517107748969746</v>
      </c>
      <c r="U34">
        <f t="shared" si="3"/>
        <v>27672.84</v>
      </c>
      <c r="W34" t="s">
        <v>78</v>
      </c>
      <c r="X34">
        <v>567</v>
      </c>
    </row>
    <row r="35" spans="10:24" x14ac:dyDescent="0.3">
      <c r="J35">
        <v>2014</v>
      </c>
      <c r="K35">
        <v>6218</v>
      </c>
      <c r="L35">
        <v>8395</v>
      </c>
      <c r="M35">
        <v>2376</v>
      </c>
      <c r="N35">
        <v>17348</v>
      </c>
      <c r="O35">
        <v>3030</v>
      </c>
      <c r="P35">
        <f t="shared" si="0"/>
        <v>0.65358590653585913</v>
      </c>
      <c r="Q35">
        <v>21067</v>
      </c>
      <c r="R35">
        <f t="shared" si="1"/>
        <v>0.79369923293699229</v>
      </c>
      <c r="S35">
        <v>20272</v>
      </c>
      <c r="T35">
        <f t="shared" si="2"/>
        <v>0.76374760763747607</v>
      </c>
      <c r="U35">
        <f t="shared" si="3"/>
        <v>26542.799999999999</v>
      </c>
      <c r="W35" t="s">
        <v>79</v>
      </c>
      <c r="X35">
        <v>582</v>
      </c>
    </row>
    <row r="36" spans="10:24" x14ac:dyDescent="0.3">
      <c r="J36">
        <v>2015</v>
      </c>
      <c r="K36">
        <v>6306</v>
      </c>
      <c r="L36">
        <v>8199</v>
      </c>
      <c r="M36">
        <v>2355</v>
      </c>
      <c r="N36">
        <v>17256</v>
      </c>
      <c r="O36">
        <v>3080</v>
      </c>
      <c r="P36">
        <f t="shared" si="0"/>
        <v>0.63956591353851622</v>
      </c>
      <c r="Q36">
        <v>20911</v>
      </c>
      <c r="R36">
        <f t="shared" si="1"/>
        <v>0.77503261578604044</v>
      </c>
      <c r="S36">
        <v>20082</v>
      </c>
      <c r="T36">
        <f t="shared" si="2"/>
        <v>0.74430706280021353</v>
      </c>
      <c r="U36">
        <f t="shared" si="3"/>
        <v>26980.799999999999</v>
      </c>
      <c r="W36" t="s">
        <v>80</v>
      </c>
      <c r="X36">
        <v>552</v>
      </c>
    </row>
    <row r="37" spans="10:24" x14ac:dyDescent="0.3">
      <c r="J37">
        <v>2016</v>
      </c>
      <c r="K37">
        <v>6504</v>
      </c>
      <c r="L37">
        <v>8176</v>
      </c>
      <c r="M37">
        <v>2250</v>
      </c>
      <c r="N37">
        <v>17311</v>
      </c>
      <c r="O37">
        <v>3087</v>
      </c>
      <c r="P37">
        <f t="shared" si="0"/>
        <v>0.64014951490489647</v>
      </c>
      <c r="Q37">
        <v>20644</v>
      </c>
      <c r="R37">
        <f t="shared" si="1"/>
        <v>0.76340168596249114</v>
      </c>
      <c r="S37">
        <v>19880</v>
      </c>
      <c r="T37">
        <f t="shared" si="2"/>
        <v>0.73514946313380758</v>
      </c>
      <c r="U37">
        <f t="shared" si="3"/>
        <v>27042.12</v>
      </c>
      <c r="W37" t="s">
        <v>81</v>
      </c>
      <c r="X37">
        <v>552</v>
      </c>
    </row>
    <row r="38" spans="10:24" x14ac:dyDescent="0.3">
      <c r="J38">
        <v>2017</v>
      </c>
      <c r="K38">
        <v>5012</v>
      </c>
      <c r="L38">
        <v>6505</v>
      </c>
      <c r="M38">
        <v>1741</v>
      </c>
      <c r="N38">
        <v>13558</v>
      </c>
      <c r="O38">
        <v>3060</v>
      </c>
      <c r="P38">
        <f t="shared" si="0"/>
        <v>0.50578983495985919</v>
      </c>
      <c r="Q38">
        <v>16361</v>
      </c>
      <c r="R38">
        <f t="shared" si="1"/>
        <v>0.61035753723102637</v>
      </c>
      <c r="S38">
        <v>15698</v>
      </c>
      <c r="T38">
        <f t="shared" si="2"/>
        <v>0.58562389948368998</v>
      </c>
      <c r="U38">
        <f t="shared" si="3"/>
        <v>26805.599999999999</v>
      </c>
      <c r="W38" t="s">
        <v>82</v>
      </c>
      <c r="X38">
        <v>466</v>
      </c>
    </row>
    <row r="39" spans="10:24" x14ac:dyDescent="0.3">
      <c r="J39">
        <v>2018</v>
      </c>
      <c r="K39">
        <v>6051</v>
      </c>
      <c r="L39">
        <v>7758</v>
      </c>
      <c r="M39">
        <v>2128</v>
      </c>
      <c r="N39">
        <v>16375</v>
      </c>
      <c r="O39">
        <v>2705</v>
      </c>
      <c r="P39">
        <f t="shared" si="0"/>
        <v>0.6910507347293614</v>
      </c>
      <c r="Q39">
        <v>17453</v>
      </c>
      <c r="R39">
        <f t="shared" si="1"/>
        <v>0.73654402889963622</v>
      </c>
      <c r="S39">
        <v>16789</v>
      </c>
      <c r="T39">
        <f t="shared" si="2"/>
        <v>0.70852218536618305</v>
      </c>
      <c r="U39">
        <f t="shared" si="3"/>
        <v>23695.8</v>
      </c>
      <c r="W39" t="s">
        <v>83</v>
      </c>
      <c r="X39">
        <v>427</v>
      </c>
    </row>
  </sheetData>
  <mergeCells count="1">
    <mergeCell ref="Q26:S26"/>
  </mergeCells>
  <phoneticPr fontId="1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DD3AB-B22C-4131-B5F3-60BC352A74F5}">
  <sheetPr>
    <pageSetUpPr fitToPage="1"/>
  </sheetPr>
  <dimension ref="B2:AG73"/>
  <sheetViews>
    <sheetView showGridLines="0" showRowColHeaders="0" zoomScale="80" zoomScaleNormal="80" zoomScaleSheetLayoutView="100" workbookViewId="0">
      <selection activeCell="C34" sqref="C34:E35"/>
    </sheetView>
  </sheetViews>
  <sheetFormatPr defaultColWidth="8.5546875" defaultRowHeight="15" customHeight="1" x14ac:dyDescent="0.3"/>
  <cols>
    <col min="1" max="1" width="1.5546875" customWidth="1"/>
    <col min="2" max="7" width="8.6640625" customWidth="1"/>
    <col min="8" max="8" width="2.5546875" customWidth="1"/>
    <col min="9" max="21" width="8.6640625" customWidth="1"/>
    <col min="22" max="22" width="10.44140625" customWidth="1"/>
    <col min="23" max="23" width="11.109375" customWidth="1"/>
    <col min="24" max="24" width="11.44140625" bestFit="1" customWidth="1"/>
    <col min="25" max="25" width="9.44140625" customWidth="1"/>
    <col min="26" max="26" width="2.5546875" customWidth="1"/>
    <col min="27" max="27" width="8.6640625" customWidth="1"/>
    <col min="28" max="28" width="3.6640625" customWidth="1"/>
    <col min="29" max="29" width="16.109375" customWidth="1"/>
    <col min="30" max="30" width="18.88671875" customWidth="1"/>
    <col min="31" max="31" width="13.33203125" customWidth="1"/>
    <col min="32" max="32" width="3.88671875" customWidth="1"/>
    <col min="33" max="34" width="8.6640625" customWidth="1"/>
    <col min="35" max="35" width="1.5546875" customWidth="1"/>
  </cols>
  <sheetData>
    <row r="2" spans="2:32" ht="28.5" customHeight="1" x14ac:dyDescent="0.3">
      <c r="H2" s="462" t="s">
        <v>946</v>
      </c>
      <c r="I2" s="462"/>
      <c r="J2" s="462"/>
      <c r="K2" s="462"/>
      <c r="L2" s="462"/>
      <c r="M2" s="462"/>
      <c r="N2" s="462"/>
      <c r="O2" s="462"/>
      <c r="P2" s="462"/>
      <c r="Q2" s="462"/>
      <c r="R2" s="462"/>
      <c r="S2" s="462"/>
      <c r="T2" s="462"/>
      <c r="U2" s="462"/>
      <c r="V2" s="462"/>
      <c r="W2" s="462"/>
      <c r="X2" s="462"/>
      <c r="Y2" s="462"/>
      <c r="Z2" s="462"/>
    </row>
    <row r="3" spans="2:32" ht="8.1" customHeight="1" thickBot="1" x14ac:dyDescent="0.35"/>
    <row r="4" spans="2:32" ht="15" customHeight="1" x14ac:dyDescent="0.3">
      <c r="B4" s="232"/>
      <c r="C4" s="232"/>
      <c r="D4" s="232"/>
      <c r="E4" s="232"/>
      <c r="F4" s="232"/>
      <c r="I4" s="463" t="s">
        <v>949</v>
      </c>
      <c r="J4" s="464"/>
      <c r="K4" s="467" t="s">
        <v>947</v>
      </c>
      <c r="L4" s="468"/>
      <c r="M4" s="469"/>
      <c r="N4" s="473" t="s">
        <v>948</v>
      </c>
      <c r="O4" s="474"/>
      <c r="P4" s="475"/>
      <c r="Q4" s="479" t="s">
        <v>950</v>
      </c>
      <c r="R4" s="480"/>
      <c r="S4" s="481"/>
      <c r="T4" s="485" t="s">
        <v>951</v>
      </c>
      <c r="U4" s="486"/>
      <c r="V4" s="464"/>
      <c r="W4" s="489" t="s">
        <v>952</v>
      </c>
      <c r="X4" s="489"/>
      <c r="Y4" s="490"/>
      <c r="AB4" s="232"/>
      <c r="AC4" s="232"/>
      <c r="AD4" s="232"/>
      <c r="AE4" s="232"/>
      <c r="AF4" s="232"/>
    </row>
    <row r="5" spans="2:32" ht="15" customHeight="1" thickBot="1" x14ac:dyDescent="0.4">
      <c r="B5" s="232"/>
      <c r="C5" s="441" t="s">
        <v>955</v>
      </c>
      <c r="D5" s="441"/>
      <c r="E5" s="441"/>
      <c r="F5" s="232"/>
      <c r="I5" s="465"/>
      <c r="J5" s="466"/>
      <c r="K5" s="470"/>
      <c r="L5" s="471"/>
      <c r="M5" s="472"/>
      <c r="N5" s="476"/>
      <c r="O5" s="477"/>
      <c r="P5" s="478"/>
      <c r="Q5" s="482"/>
      <c r="R5" s="483"/>
      <c r="S5" s="484"/>
      <c r="T5" s="487"/>
      <c r="U5" s="488"/>
      <c r="V5" s="466"/>
      <c r="W5" s="491"/>
      <c r="X5" s="491"/>
      <c r="Y5" s="492"/>
      <c r="AB5" s="232"/>
      <c r="AC5" s="441" t="s">
        <v>954</v>
      </c>
      <c r="AD5" s="441"/>
      <c r="AE5" s="441"/>
      <c r="AF5" s="232"/>
    </row>
    <row r="6" spans="2:32" ht="15" customHeight="1" x14ac:dyDescent="0.35">
      <c r="B6" s="232"/>
      <c r="C6" s="234"/>
      <c r="D6" s="234"/>
      <c r="E6" s="234"/>
      <c r="F6" s="232"/>
      <c r="AB6" s="232"/>
      <c r="AC6" s="234"/>
      <c r="AD6" s="234"/>
      <c r="AE6" s="234"/>
      <c r="AF6" s="232"/>
    </row>
    <row r="7" spans="2:32" ht="16.2" thickBot="1" x14ac:dyDescent="0.35">
      <c r="B7" s="232"/>
      <c r="C7" s="417" t="s">
        <v>1047</v>
      </c>
      <c r="D7" s="232"/>
      <c r="E7" s="232"/>
      <c r="F7" s="232"/>
      <c r="AB7" s="232"/>
      <c r="AC7" s="417" t="s">
        <v>1053</v>
      </c>
      <c r="AD7" s="232"/>
      <c r="AE7" s="232"/>
      <c r="AF7" s="232"/>
    </row>
    <row r="8" spans="2:32" ht="18" customHeight="1" x14ac:dyDescent="0.3">
      <c r="B8" s="232"/>
      <c r="C8" s="428" t="s">
        <v>989</v>
      </c>
      <c r="D8" s="429"/>
      <c r="E8" s="430"/>
      <c r="F8" s="232"/>
      <c r="AB8" s="232"/>
      <c r="AC8" s="493" t="s">
        <v>1043</v>
      </c>
      <c r="AD8" s="494"/>
      <c r="AE8" s="495"/>
      <c r="AF8" s="232"/>
    </row>
    <row r="9" spans="2:32" ht="18" customHeight="1" thickBot="1" x14ac:dyDescent="0.35">
      <c r="B9" s="232"/>
      <c r="C9" s="431"/>
      <c r="D9" s="432"/>
      <c r="E9" s="433"/>
      <c r="F9" s="232"/>
      <c r="T9" s="461"/>
      <c r="U9" s="461"/>
      <c r="V9" s="461"/>
      <c r="W9" s="461"/>
      <c r="X9" s="461"/>
      <c r="Y9" s="461"/>
      <c r="AB9" s="232"/>
      <c r="AC9" s="496"/>
      <c r="AD9" s="497"/>
      <c r="AE9" s="498"/>
      <c r="AF9" s="232"/>
    </row>
    <row r="10" spans="2:32" ht="15" customHeight="1" x14ac:dyDescent="0.3">
      <c r="B10" s="232"/>
      <c r="C10" s="451" t="s">
        <v>1036</v>
      </c>
      <c r="D10" s="452"/>
      <c r="E10" s="453"/>
      <c r="F10" s="232"/>
      <c r="T10" s="505" t="s">
        <v>988</v>
      </c>
      <c r="U10" s="505"/>
      <c r="V10" s="505"/>
      <c r="W10" s="505"/>
      <c r="X10" s="505"/>
      <c r="Y10" s="505"/>
      <c r="Z10" s="505"/>
      <c r="AB10" s="232"/>
      <c r="AC10" s="507">
        <f>($AD$13 - 'Consumption Forecasts'!$AU$13)/$AD$13</f>
        <v>0.29736013038540832</v>
      </c>
      <c r="AD10" s="508"/>
      <c r="AE10" s="509"/>
      <c r="AF10" s="232"/>
    </row>
    <row r="11" spans="2:32" ht="15" customHeight="1" thickBot="1" x14ac:dyDescent="0.35">
      <c r="B11" s="232"/>
      <c r="C11" s="448"/>
      <c r="D11" s="449"/>
      <c r="E11" s="450"/>
      <c r="F11" s="232"/>
      <c r="T11" s="513"/>
      <c r="U11" s="514"/>
      <c r="V11" s="506" t="s">
        <v>987</v>
      </c>
      <c r="W11" s="515"/>
      <c r="X11" s="506" t="s">
        <v>986</v>
      </c>
      <c r="Y11" s="515"/>
      <c r="Z11" s="247"/>
      <c r="AB11" s="232"/>
      <c r="AC11" s="510"/>
      <c r="AD11" s="511"/>
      <c r="AE11" s="512"/>
      <c r="AF11" s="232"/>
    </row>
    <row r="12" spans="2:32" ht="15" customHeight="1" x14ac:dyDescent="0.3">
      <c r="B12" s="232"/>
      <c r="C12" s="232"/>
      <c r="D12" s="232"/>
      <c r="E12" s="232"/>
      <c r="F12" s="232"/>
      <c r="T12" s="506" t="s">
        <v>17</v>
      </c>
      <c r="U12" s="506"/>
      <c r="V12" s="460">
        <f>AVERAGE('Consumption Forecasts'!C4:V4)</f>
        <v>-5.9863889413598759E-3</v>
      </c>
      <c r="W12" s="460"/>
      <c r="X12" s="460">
        <f>('Consumption Forecasts'!V3-'Consumption Forecasts'!B3)/'Consumption Forecasts'!B3</f>
        <v>-0.11329062417012041</v>
      </c>
      <c r="Y12" s="460"/>
      <c r="AB12" s="232"/>
      <c r="AC12" s="232" t="s">
        <v>1045</v>
      </c>
      <c r="AD12" s="232"/>
      <c r="AE12" s="232"/>
      <c r="AF12" s="232"/>
    </row>
    <row r="13" spans="2:32" ht="15" customHeight="1" thickBot="1" x14ac:dyDescent="0.35">
      <c r="B13" s="232"/>
      <c r="C13" s="417" t="s">
        <v>1048</v>
      </c>
      <c r="D13" s="232"/>
      <c r="E13" s="232"/>
      <c r="F13" s="232"/>
      <c r="T13" s="506" t="s">
        <v>18</v>
      </c>
      <c r="U13" s="506"/>
      <c r="V13" s="460">
        <f>AVERAGE('Consumption Forecasts'!C6:V6)</f>
        <v>-2.9041344213587362E-3</v>
      </c>
      <c r="W13" s="460"/>
      <c r="X13" s="460">
        <f>('Consumption Forecasts'!V5-'Consumption Forecasts'!B5)/'Consumption Forecasts'!B5</f>
        <v>-5.6528829512333172E-2</v>
      </c>
      <c r="Y13" s="460"/>
      <c r="AB13" s="232"/>
      <c r="AC13" s="232" t="s">
        <v>1046</v>
      </c>
      <c r="AD13" s="415">
        <v>15813</v>
      </c>
      <c r="AE13" s="415"/>
      <c r="AF13" s="232"/>
    </row>
    <row r="14" spans="2:32" ht="14.4" x14ac:dyDescent="0.3">
      <c r="B14" s="232"/>
      <c r="C14" s="428" t="s">
        <v>976</v>
      </c>
      <c r="D14" s="429"/>
      <c r="E14" s="430"/>
      <c r="F14" s="232"/>
      <c r="T14" s="506" t="s">
        <v>60</v>
      </c>
      <c r="U14" s="506"/>
      <c r="V14" s="460">
        <f>AVERAGE('Consumption Forecasts'!C8:V8)</f>
        <v>1.2961099685840647E-2</v>
      </c>
      <c r="W14" s="460"/>
      <c r="X14" s="460">
        <f>('Consumption Forecasts'!V7-'Consumption Forecasts'!B7)/'Consumption Forecasts'!B7</f>
        <v>0.28711481125175392</v>
      </c>
      <c r="Y14" s="460"/>
      <c r="AB14" s="232"/>
      <c r="AC14" s="232"/>
      <c r="AD14" s="415"/>
      <c r="AE14" s="415"/>
      <c r="AF14" s="232"/>
    </row>
    <row r="15" spans="2:32" ht="16.2" thickBot="1" x14ac:dyDescent="0.35">
      <c r="B15" s="232"/>
      <c r="C15" s="431"/>
      <c r="D15" s="432"/>
      <c r="E15" s="433"/>
      <c r="F15" s="232"/>
      <c r="T15" s="506" t="s">
        <v>6</v>
      </c>
      <c r="U15" s="506"/>
      <c r="V15" s="460">
        <f>AVERAGE('Consumption Forecasts'!C10:V10)</f>
        <v>-2.126250728418275E-3</v>
      </c>
      <c r="W15" s="460"/>
      <c r="X15" s="460">
        <f>('Consumption Forecasts'!V9-'Consumption Forecasts'!B9)/'Consumption Forecasts'!B9</f>
        <v>-4.1826552254763859E-2</v>
      </c>
      <c r="Y15" s="460"/>
      <c r="AB15" s="232"/>
      <c r="AC15" s="417" t="s">
        <v>1054</v>
      </c>
      <c r="AD15" s="232"/>
      <c r="AE15" s="232"/>
      <c r="AF15" s="232"/>
    </row>
    <row r="16" spans="2:32" ht="18" customHeight="1" x14ac:dyDescent="0.3">
      <c r="B16" s="232"/>
      <c r="C16" s="435" t="s">
        <v>977</v>
      </c>
      <c r="D16" s="436"/>
      <c r="E16" s="437"/>
      <c r="F16" s="232"/>
      <c r="T16" s="506" t="s">
        <v>953</v>
      </c>
      <c r="U16" s="506"/>
      <c r="V16" s="460">
        <f>AVERAGE('Consumption Forecasts'!C12:V12)</f>
        <v>-2.1283182313116033E-3</v>
      </c>
      <c r="W16" s="460"/>
      <c r="X16" s="460">
        <f>('Consumption Forecasts'!V11-'Consumption Forecasts'!B11)/'Consumption Forecasts'!B11</f>
        <v>-4.1866275124089317E-2</v>
      </c>
      <c r="Y16" s="460"/>
      <c r="AB16" s="232"/>
      <c r="AC16" s="493" t="s">
        <v>1044</v>
      </c>
      <c r="AD16" s="494"/>
      <c r="AE16" s="495"/>
      <c r="AF16" s="232"/>
    </row>
    <row r="17" spans="2:32" ht="15" customHeight="1" thickBot="1" x14ac:dyDescent="0.35">
      <c r="B17" s="232"/>
      <c r="C17" s="438"/>
      <c r="D17" s="439"/>
      <c r="E17" s="440"/>
      <c r="F17" s="232"/>
      <c r="T17" s="506" t="s">
        <v>85</v>
      </c>
      <c r="U17" s="506"/>
      <c r="V17" s="460">
        <f>AVERAGE('Consumption Forecasts'!C14:V14)</f>
        <v>-2.1206923183615884E-3</v>
      </c>
      <c r="W17" s="460"/>
      <c r="X17" s="460">
        <f>('Consumption Forecasts'!V13-'Consumption Forecasts'!B13)/'Consumption Forecasts'!B13</f>
        <v>-4.1719797286251352E-2</v>
      </c>
      <c r="Y17" s="460"/>
      <c r="AB17" s="232"/>
      <c r="AC17" s="496"/>
      <c r="AD17" s="497"/>
      <c r="AE17" s="498"/>
      <c r="AF17" s="232"/>
    </row>
    <row r="18" spans="2:32" ht="15" customHeight="1" x14ac:dyDescent="0.3">
      <c r="B18" s="232"/>
      <c r="C18" s="232"/>
      <c r="D18" s="232"/>
      <c r="E18" s="232"/>
      <c r="F18" s="232"/>
      <c r="AB18" s="232"/>
      <c r="AC18" s="507">
        <f>$Y$32</f>
        <v>0.36817790563674768</v>
      </c>
      <c r="AD18" s="508"/>
      <c r="AE18" s="509"/>
      <c r="AF18" s="232"/>
    </row>
    <row r="19" spans="2:32" ht="15" customHeight="1" thickBot="1" x14ac:dyDescent="0.35">
      <c r="B19" s="232"/>
      <c r="C19" s="417" t="s">
        <v>1049</v>
      </c>
      <c r="D19" s="232"/>
      <c r="E19" s="232"/>
      <c r="F19" s="232"/>
      <c r="AB19" s="232"/>
      <c r="AC19" s="510"/>
      <c r="AD19" s="511"/>
      <c r="AE19" s="512"/>
      <c r="AF19" s="232"/>
    </row>
    <row r="20" spans="2:32" ht="18" customHeight="1" x14ac:dyDescent="0.3">
      <c r="B20" s="232"/>
      <c r="C20" s="428" t="s">
        <v>978</v>
      </c>
      <c r="D20" s="429"/>
      <c r="E20" s="430"/>
      <c r="F20" s="232"/>
      <c r="AB20" s="232"/>
      <c r="AC20" s="232"/>
      <c r="AD20" s="232"/>
      <c r="AE20" s="232"/>
      <c r="AF20" s="232"/>
    </row>
    <row r="21" spans="2:32" ht="16.2" thickBot="1" x14ac:dyDescent="0.35">
      <c r="B21" s="232"/>
      <c r="C21" s="431"/>
      <c r="D21" s="432"/>
      <c r="E21" s="433"/>
      <c r="F21" s="232"/>
      <c r="AB21" s="232"/>
      <c r="AC21" s="417" t="s">
        <v>1055</v>
      </c>
      <c r="AD21" s="232"/>
      <c r="AE21" s="232"/>
      <c r="AF21" s="232"/>
    </row>
    <row r="22" spans="2:32" ht="15" customHeight="1" x14ac:dyDescent="0.3">
      <c r="B22" s="232"/>
      <c r="C22" s="435" t="s">
        <v>977</v>
      </c>
      <c r="D22" s="436"/>
      <c r="E22" s="437"/>
      <c r="F22" s="232"/>
      <c r="AB22" s="232"/>
      <c r="AC22" s="493" t="s">
        <v>999</v>
      </c>
      <c r="AD22" s="494"/>
      <c r="AE22" s="495"/>
      <c r="AF22" s="232"/>
    </row>
    <row r="23" spans="2:32" ht="18" customHeight="1" thickBot="1" x14ac:dyDescent="0.35">
      <c r="B23" s="232"/>
      <c r="C23" s="438"/>
      <c r="D23" s="439"/>
      <c r="E23" s="440"/>
      <c r="F23" s="232"/>
      <c r="AB23" s="232"/>
      <c r="AC23" s="496"/>
      <c r="AD23" s="497"/>
      <c r="AE23" s="498"/>
      <c r="AF23" s="232"/>
    </row>
    <row r="24" spans="2:32" ht="15" customHeight="1" x14ac:dyDescent="0.3">
      <c r="B24" s="232"/>
      <c r="C24" s="232"/>
      <c r="D24" s="232"/>
      <c r="E24" s="232"/>
      <c r="F24" s="232"/>
      <c r="AB24" s="232"/>
      <c r="AC24" s="499">
        <f>SUM('Consumption Forecasts'!C13:V13)-SUM('Consumption Forecasts'!AB13:AU13)</f>
        <v>105137.56448377628</v>
      </c>
      <c r="AD24" s="500"/>
      <c r="AE24" s="501"/>
      <c r="AF24" s="232"/>
    </row>
    <row r="25" spans="2:32" ht="15" customHeight="1" thickBot="1" x14ac:dyDescent="0.35">
      <c r="B25" s="232"/>
      <c r="C25" s="417" t="s">
        <v>1050</v>
      </c>
      <c r="D25" s="232"/>
      <c r="E25" s="232"/>
      <c r="F25" s="232"/>
      <c r="T25" s="426" t="s">
        <v>967</v>
      </c>
      <c r="U25" s="426"/>
      <c r="V25" s="426"/>
      <c r="W25" s="426"/>
      <c r="X25" s="426"/>
      <c r="Y25" s="426"/>
      <c r="AB25" s="232"/>
      <c r="AC25" s="502"/>
      <c r="AD25" s="503"/>
      <c r="AE25" s="504"/>
      <c r="AF25" s="232"/>
    </row>
    <row r="26" spans="2:32" ht="18" customHeight="1" x14ac:dyDescent="0.3">
      <c r="B26" s="232"/>
      <c r="C26" s="428" t="s">
        <v>979</v>
      </c>
      <c r="D26" s="429"/>
      <c r="E26" s="430"/>
      <c r="F26" s="232"/>
      <c r="T26" s="424"/>
      <c r="U26" s="425"/>
      <c r="V26" s="244" t="s">
        <v>963</v>
      </c>
      <c r="W26" s="244" t="s">
        <v>964</v>
      </c>
      <c r="X26" s="244" t="s">
        <v>922</v>
      </c>
      <c r="Y26" s="244" t="s">
        <v>923</v>
      </c>
      <c r="AB26" s="232"/>
      <c r="AC26" s="232"/>
      <c r="AD26" s="232"/>
      <c r="AE26" s="232"/>
      <c r="AF26" s="232"/>
    </row>
    <row r="27" spans="2:32" ht="16.2" thickBot="1" x14ac:dyDescent="0.35">
      <c r="B27" s="232"/>
      <c r="C27" s="431"/>
      <c r="D27" s="432"/>
      <c r="E27" s="433"/>
      <c r="F27" s="232"/>
      <c r="T27" s="516" t="s">
        <v>11</v>
      </c>
      <c r="U27" s="517"/>
      <c r="V27" s="255">
        <f>'Consumption Forecasts'!C3-'Consumption Forecasts'!AB3</f>
        <v>746.53639419539923</v>
      </c>
      <c r="W27" s="254">
        <f>1-'Consumption Forecasts'!AB3/'Consumption Forecasts'!C3</f>
        <v>0.11409578789702979</v>
      </c>
      <c r="X27" s="255">
        <f>'Consumption Forecasts'!V3 - 'Consumption Forecasts'!AU3</f>
        <v>2562.5895215741111</v>
      </c>
      <c r="Y27" s="256">
        <f>1-'Consumption Forecasts'!AU3/'Consumption Forecasts'!V3</f>
        <v>0.44129737536021851</v>
      </c>
      <c r="AB27" s="232"/>
      <c r="AC27" s="417" t="s">
        <v>1056</v>
      </c>
      <c r="AD27" s="232"/>
      <c r="AE27" s="232"/>
      <c r="AF27" s="232"/>
    </row>
    <row r="28" spans="2:32" ht="15" customHeight="1" x14ac:dyDescent="0.3">
      <c r="B28" s="232"/>
      <c r="C28" s="435" t="s">
        <v>977</v>
      </c>
      <c r="D28" s="436"/>
      <c r="E28" s="437"/>
      <c r="F28" s="232"/>
      <c r="T28" s="434" t="s">
        <v>18</v>
      </c>
      <c r="U28" s="434"/>
      <c r="V28" s="255">
        <f>'Consumption Forecasts'!C5-'Consumption Forecasts'!AB5</f>
        <v>834.84762240376403</v>
      </c>
      <c r="W28" s="254">
        <f>1-'Consumption Forecasts'!AB5/'Consumption Forecasts'!C5</f>
        <v>8.82087439866166E-2</v>
      </c>
      <c r="X28" s="255">
        <f>'Consumption Forecasts'!V5 - 'Consumption Forecasts'!AU5</f>
        <v>3273.7683109003065</v>
      </c>
      <c r="Y28" s="256">
        <f>1-'Consumption Forecasts'!AU5/'Consumption Forecasts'!V5</f>
        <v>0.36536328146451524</v>
      </c>
      <c r="AB28" s="232"/>
      <c r="AC28" s="493" t="s">
        <v>998</v>
      </c>
      <c r="AD28" s="494"/>
      <c r="AE28" s="495"/>
      <c r="AF28" s="232"/>
    </row>
    <row r="29" spans="2:32" ht="17.399999999999999" customHeight="1" thickBot="1" x14ac:dyDescent="0.35">
      <c r="B29" s="232"/>
      <c r="C29" s="438"/>
      <c r="D29" s="439"/>
      <c r="E29" s="440"/>
      <c r="F29" s="232"/>
      <c r="T29" s="434" t="s">
        <v>12</v>
      </c>
      <c r="U29" s="434"/>
      <c r="V29" s="255">
        <f>'Consumption Forecasts'!C7-'Consumption Forecasts'!AB7</f>
        <v>68.215908470846443</v>
      </c>
      <c r="W29" s="254">
        <f>1-'Consumption Forecasts'!AB7/'Consumption Forecasts'!C7</f>
        <v>3.4907886397541832E-2</v>
      </c>
      <c r="X29" s="255">
        <f>'Consumption Forecasts'!V7 - 'Consumption Forecasts'!AU7</f>
        <v>388.31762998868044</v>
      </c>
      <c r="Y29" s="256">
        <f>1-'Consumption Forecasts'!AU7/'Consumption Forecasts'!V7</f>
        <v>0.16279557852430826</v>
      </c>
      <c r="AB29" s="232"/>
      <c r="AC29" s="496"/>
      <c r="AD29" s="497"/>
      <c r="AE29" s="498"/>
      <c r="AF29" s="232"/>
    </row>
    <row r="30" spans="2:32" ht="15" customHeight="1" x14ac:dyDescent="0.35">
      <c r="B30" s="232"/>
      <c r="C30" s="232"/>
      <c r="D30" s="232"/>
      <c r="E30" s="232"/>
      <c r="F30" s="232"/>
      <c r="T30" s="434" t="s">
        <v>6</v>
      </c>
      <c r="U30" s="434"/>
      <c r="V30" s="255">
        <f>'Consumption Forecasts'!C9-'Consumption Forecasts'!AB9</f>
        <v>61.802754531274559</v>
      </c>
      <c r="W30" s="254">
        <f>1-'Consumption Forecasts'!AB9/'Consumption Forecasts'!C9</f>
        <v>0.16311055896045557</v>
      </c>
      <c r="X30" s="255">
        <f>'Consumption Forecasts'!V9 - 'Consumption Forecasts'!AU9</f>
        <v>249.88027932136299</v>
      </c>
      <c r="Y30" s="256">
        <f>1-'Consumption Forecasts'!AU9/'Consumption Forecasts'!V9</f>
        <v>0.69067555126359526</v>
      </c>
      <c r="Z30" s="233"/>
      <c r="AB30" s="232"/>
      <c r="AC30" s="499">
        <f>$AC$24*1000/'Consumption Forecasts'!V186/('Consumption Forecasts'!V185-'Consumption Forecasts'!B185)</f>
        <v>2237.4755307862165</v>
      </c>
      <c r="AD30" s="500"/>
      <c r="AE30" s="501"/>
      <c r="AF30" s="232"/>
    </row>
    <row r="31" spans="2:32" ht="15" customHeight="1" thickBot="1" x14ac:dyDescent="0.35">
      <c r="B31" s="232"/>
      <c r="C31" s="417" t="s">
        <v>1051</v>
      </c>
      <c r="D31" s="232"/>
      <c r="E31" s="232"/>
      <c r="F31" s="232"/>
      <c r="T31" s="434" t="s">
        <v>8</v>
      </c>
      <c r="U31" s="434"/>
      <c r="V31" s="255">
        <f>'Consumption Forecasts'!C11-'Consumption Forecasts'!AB11</f>
        <v>0.96537873545814534</v>
      </c>
      <c r="W31" s="254">
        <f>1-'Consumption Forecasts'!AB11/'Consumption Forecasts'!C11</f>
        <v>1.2974006158071982E-2</v>
      </c>
      <c r="X31" s="255">
        <f>'Consumption Forecasts'!V11 - 'Consumption Forecasts'!AU11</f>
        <v>0</v>
      </c>
      <c r="Y31" s="256">
        <f>1-'Consumption Forecasts'!AU11/'Consumption Forecasts'!V11</f>
        <v>0</v>
      </c>
      <c r="AB31" s="232"/>
      <c r="AC31" s="502"/>
      <c r="AD31" s="503"/>
      <c r="AE31" s="504"/>
      <c r="AF31" s="232"/>
    </row>
    <row r="32" spans="2:32" ht="15" customHeight="1" x14ac:dyDescent="0.3">
      <c r="B32" s="232"/>
      <c r="C32" s="428" t="s">
        <v>118</v>
      </c>
      <c r="D32" s="429"/>
      <c r="E32" s="430"/>
      <c r="F32" s="232"/>
      <c r="T32" s="434" t="s">
        <v>85</v>
      </c>
      <c r="U32" s="434"/>
      <c r="V32" s="255">
        <f>'Consumption Forecasts'!C13-'Consumption Forecasts'!AB13</f>
        <v>1712.3680583367386</v>
      </c>
      <c r="W32" s="254">
        <f>1-'Consumption Forecasts'!AB13/'Consumption Forecasts'!C13</f>
        <v>9.298767626047999E-2</v>
      </c>
      <c r="X32" s="255">
        <f>'Consumption Forecasts'!V13 - 'Consumption Forecasts'!AU13</f>
        <v>6474.555741784463</v>
      </c>
      <c r="Y32" s="256">
        <f>1-'Consumption Forecasts'!AU13/'Consumption Forecasts'!V13</f>
        <v>0.36817790563674768</v>
      </c>
      <c r="AB32" s="232"/>
      <c r="AC32" s="232"/>
      <c r="AD32" s="232"/>
      <c r="AE32" s="232"/>
      <c r="AF32" s="232"/>
    </row>
    <row r="33" spans="2:32" ht="15" customHeight="1" thickBot="1" x14ac:dyDescent="0.35">
      <c r="B33" s="232"/>
      <c r="C33" s="431"/>
      <c r="D33" s="432"/>
      <c r="E33" s="433"/>
      <c r="F33" s="232"/>
      <c r="S33" s="427" t="s">
        <v>968</v>
      </c>
      <c r="T33" s="427"/>
      <c r="U33" s="427"/>
      <c r="V33" s="427"/>
      <c r="W33" s="427"/>
      <c r="X33" s="427"/>
      <c r="Y33" s="427"/>
      <c r="Z33" s="427"/>
      <c r="AA33" s="427"/>
      <c r="AB33" s="232"/>
      <c r="AC33" s="417" t="s">
        <v>1057</v>
      </c>
      <c r="AD33" s="232"/>
      <c r="AE33" s="232"/>
      <c r="AF33" s="232"/>
    </row>
    <row r="34" spans="2:32" ht="17.399999999999999" customHeight="1" thickBot="1" x14ac:dyDescent="0.35">
      <c r="B34" s="232"/>
      <c r="C34" s="454" t="s">
        <v>990</v>
      </c>
      <c r="D34" s="455"/>
      <c r="E34" s="456"/>
      <c r="F34" s="232"/>
      <c r="AB34" s="232"/>
      <c r="AC34" s="493" t="s">
        <v>1000</v>
      </c>
      <c r="AD34" s="494"/>
      <c r="AE34" s="495"/>
      <c r="AF34" s="232"/>
    </row>
    <row r="35" spans="2:32" ht="15" customHeight="1" thickBot="1" x14ac:dyDescent="0.35">
      <c r="B35" s="232"/>
      <c r="C35" s="457"/>
      <c r="D35" s="458"/>
      <c r="E35" s="459"/>
      <c r="F35" s="232"/>
      <c r="V35" s="442" t="s">
        <v>957</v>
      </c>
      <c r="W35" s="443"/>
      <c r="X35" s="444"/>
      <c r="AB35" s="232"/>
      <c r="AC35" s="496"/>
      <c r="AD35" s="497"/>
      <c r="AE35" s="498"/>
      <c r="AF35" s="232"/>
    </row>
    <row r="36" spans="2:32" ht="15" customHeight="1" x14ac:dyDescent="0.3">
      <c r="B36" s="232"/>
      <c r="C36" s="232"/>
      <c r="D36" s="232"/>
      <c r="E36" s="232"/>
      <c r="F36" s="232"/>
      <c r="V36" s="239" t="s">
        <v>990</v>
      </c>
      <c r="W36" s="237"/>
      <c r="X36" s="235"/>
      <c r="AB36" s="232"/>
      <c r="AC36" s="499">
        <f>$AC$30*0.22</f>
        <v>492.24461677296762</v>
      </c>
      <c r="AD36" s="500"/>
      <c r="AE36" s="501"/>
      <c r="AF36" s="232"/>
    </row>
    <row r="37" spans="2:32" ht="15" customHeight="1" thickBot="1" x14ac:dyDescent="0.35">
      <c r="B37" s="232"/>
      <c r="C37" s="417" t="s">
        <v>1052</v>
      </c>
      <c r="D37" s="232"/>
      <c r="E37" s="232"/>
      <c r="F37" s="232"/>
      <c r="V37" s="239" t="s">
        <v>919</v>
      </c>
      <c r="W37" s="237"/>
      <c r="X37" s="235"/>
      <c r="AB37" s="232"/>
      <c r="AC37" s="502"/>
      <c r="AD37" s="503"/>
      <c r="AE37" s="504"/>
      <c r="AF37" s="232"/>
    </row>
    <row r="38" spans="2:32" ht="15" customHeight="1" x14ac:dyDescent="0.3">
      <c r="B38" s="232"/>
      <c r="C38" s="428" t="s">
        <v>956</v>
      </c>
      <c r="D38" s="429"/>
      <c r="E38" s="430"/>
      <c r="F38" s="232"/>
      <c r="V38" s="239" t="s">
        <v>921</v>
      </c>
      <c r="W38" s="237"/>
      <c r="X38" s="235"/>
      <c r="AB38" s="232"/>
      <c r="AC38" s="232" t="s">
        <v>1001</v>
      </c>
      <c r="AD38" s="232"/>
      <c r="AE38" s="232"/>
      <c r="AF38" s="232"/>
    </row>
    <row r="39" spans="2:32" ht="15" customHeight="1" thickBot="1" x14ac:dyDescent="0.35">
      <c r="B39" s="232"/>
      <c r="C39" s="431"/>
      <c r="D39" s="432"/>
      <c r="E39" s="433"/>
      <c r="F39" s="232"/>
      <c r="V39" s="239" t="s">
        <v>920</v>
      </c>
      <c r="W39" s="237"/>
      <c r="X39" s="235"/>
      <c r="AB39" s="232"/>
      <c r="AC39" s="232"/>
      <c r="AD39" s="232"/>
      <c r="AE39" s="232"/>
      <c r="AF39" s="232"/>
    </row>
    <row r="40" spans="2:32" ht="15" customHeight="1" x14ac:dyDescent="0.3">
      <c r="B40" s="232"/>
      <c r="C40" s="445" t="s">
        <v>912</v>
      </c>
      <c r="D40" s="446"/>
      <c r="E40" s="447"/>
      <c r="F40" s="232"/>
      <c r="V40" s="239" t="s">
        <v>928</v>
      </c>
      <c r="W40" s="237"/>
      <c r="X40" s="235"/>
      <c r="AB40" s="232"/>
      <c r="AC40" s="232"/>
      <c r="AD40" s="232"/>
      <c r="AE40" s="232"/>
      <c r="AF40" s="232"/>
    </row>
    <row r="41" spans="2:32" ht="15" customHeight="1" thickBot="1" x14ac:dyDescent="0.35">
      <c r="B41" s="232"/>
      <c r="C41" s="448"/>
      <c r="D41" s="449"/>
      <c r="E41" s="450"/>
      <c r="F41" s="232"/>
      <c r="V41" s="239" t="s">
        <v>924</v>
      </c>
      <c r="W41" s="237"/>
      <c r="X41" s="235"/>
      <c r="AB41" s="232"/>
      <c r="AC41" s="232"/>
      <c r="AD41" s="232"/>
      <c r="AE41" s="232"/>
      <c r="AF41" s="232"/>
    </row>
    <row r="42" spans="2:32" ht="15" customHeight="1" x14ac:dyDescent="0.3">
      <c r="B42" s="232"/>
      <c r="C42" s="232"/>
      <c r="D42" s="232"/>
      <c r="E42" s="232"/>
      <c r="F42" s="232"/>
      <c r="U42" t="s">
        <v>958</v>
      </c>
      <c r="V42" s="239" t="s">
        <v>925</v>
      </c>
      <c r="W42" s="237"/>
      <c r="X42" s="235"/>
      <c r="AB42" s="232"/>
      <c r="AC42" s="232"/>
      <c r="AD42" s="232"/>
      <c r="AE42" s="232"/>
      <c r="AF42" s="232"/>
    </row>
    <row r="43" spans="2:32" ht="15" customHeight="1" thickBot="1" x14ac:dyDescent="0.35">
      <c r="B43" s="232"/>
      <c r="C43" s="417" t="s">
        <v>1058</v>
      </c>
      <c r="D43" s="232"/>
      <c r="E43" s="232"/>
      <c r="F43" s="232"/>
      <c r="V43" s="240" t="s">
        <v>926</v>
      </c>
      <c r="W43" s="238"/>
      <c r="X43" s="236"/>
      <c r="AB43" s="232"/>
      <c r="AC43" s="232"/>
      <c r="AD43" s="232"/>
      <c r="AE43" s="232"/>
      <c r="AF43" s="232"/>
    </row>
    <row r="44" spans="2:32" ht="15" customHeight="1" x14ac:dyDescent="0.3">
      <c r="B44" s="232"/>
      <c r="C44" s="428" t="s">
        <v>960</v>
      </c>
      <c r="D44" s="429"/>
      <c r="E44" s="430"/>
      <c r="F44" s="232"/>
      <c r="AB44" s="232"/>
      <c r="AC44" s="232"/>
      <c r="AD44" s="232"/>
      <c r="AE44" s="232"/>
      <c r="AF44" s="232"/>
    </row>
    <row r="45" spans="2:32" ht="15" customHeight="1" thickBot="1" x14ac:dyDescent="0.35">
      <c r="B45" s="232"/>
      <c r="C45" s="431"/>
      <c r="D45" s="432"/>
      <c r="E45" s="433"/>
      <c r="F45" s="232"/>
      <c r="AB45" s="232"/>
      <c r="AC45" s="232"/>
      <c r="AD45" s="232"/>
      <c r="AE45" s="232"/>
      <c r="AF45" s="232"/>
    </row>
    <row r="46" spans="2:32" ht="15" customHeight="1" x14ac:dyDescent="0.3">
      <c r="B46" s="232"/>
      <c r="C46" s="418">
        <v>2040</v>
      </c>
      <c r="D46" s="419"/>
      <c r="E46" s="420"/>
      <c r="F46" s="232"/>
      <c r="AB46" s="232"/>
      <c r="AC46" s="232"/>
      <c r="AD46" s="232"/>
      <c r="AE46" s="232"/>
      <c r="AF46" s="232"/>
    </row>
    <row r="47" spans="2:32" ht="15" customHeight="1" thickBot="1" x14ac:dyDescent="0.35">
      <c r="B47" s="232"/>
      <c r="C47" s="421"/>
      <c r="D47" s="422"/>
      <c r="E47" s="423"/>
      <c r="F47" s="232"/>
      <c r="AB47" s="232"/>
      <c r="AC47" s="232"/>
      <c r="AD47" s="232"/>
      <c r="AE47" s="232"/>
      <c r="AF47" s="232"/>
    </row>
    <row r="48" spans="2:32" ht="15" customHeight="1" x14ac:dyDescent="0.3">
      <c r="B48" s="232"/>
      <c r="C48" s="232"/>
      <c r="D48" s="232"/>
      <c r="E48" s="232"/>
      <c r="F48" s="232"/>
      <c r="AB48" s="232"/>
      <c r="AC48" s="232"/>
      <c r="AD48" s="232"/>
      <c r="AE48" s="232"/>
      <c r="AF48" s="232"/>
    </row>
    <row r="49" spans="2:32" ht="15" customHeight="1" x14ac:dyDescent="0.3">
      <c r="B49" s="232"/>
      <c r="C49" s="232"/>
      <c r="D49" s="232"/>
      <c r="E49" s="232"/>
      <c r="F49" s="232"/>
      <c r="AB49" s="232"/>
      <c r="AC49" s="232"/>
      <c r="AD49" s="232"/>
      <c r="AE49" s="232"/>
      <c r="AF49" s="232"/>
    </row>
    <row r="50" spans="2:32" ht="15" customHeight="1" x14ac:dyDescent="0.3">
      <c r="B50" s="232"/>
      <c r="C50" s="232"/>
      <c r="D50" s="232"/>
      <c r="E50" s="232"/>
      <c r="F50" s="232"/>
      <c r="Z50" s="247"/>
      <c r="AB50" s="232"/>
      <c r="AC50" s="232"/>
      <c r="AD50" s="232"/>
      <c r="AE50" s="232"/>
      <c r="AF50" s="232"/>
    </row>
    <row r="51" spans="2:32" ht="15" customHeight="1" x14ac:dyDescent="0.3">
      <c r="B51" s="232"/>
      <c r="C51" s="232"/>
      <c r="D51" s="232"/>
      <c r="E51" s="232"/>
      <c r="F51" s="232"/>
      <c r="W51" s="426" t="s">
        <v>959</v>
      </c>
      <c r="X51" s="426"/>
      <c r="Y51" s="426"/>
      <c r="Z51" s="3"/>
      <c r="AB51" s="232"/>
      <c r="AC51" s="232"/>
      <c r="AD51" s="232"/>
      <c r="AE51" s="232"/>
      <c r="AF51" s="232"/>
    </row>
    <row r="52" spans="2:32" ht="15" customHeight="1" x14ac:dyDescent="0.3">
      <c r="B52" s="232"/>
      <c r="C52" s="232"/>
      <c r="D52" s="232"/>
      <c r="E52" s="232"/>
      <c r="F52" s="232"/>
      <c r="W52" s="241"/>
      <c r="X52" s="242" t="s">
        <v>961</v>
      </c>
      <c r="Y52" s="245" t="s">
        <v>962</v>
      </c>
      <c r="Z52" s="246"/>
      <c r="AB52" s="232"/>
      <c r="AC52" s="232"/>
      <c r="AD52" s="232"/>
      <c r="AE52" s="232"/>
      <c r="AF52" s="232"/>
    </row>
    <row r="53" spans="2:32" ht="15" customHeight="1" x14ac:dyDescent="0.3">
      <c r="B53" s="232"/>
      <c r="C53" s="232"/>
      <c r="D53" s="232"/>
      <c r="E53" s="232"/>
      <c r="F53" s="232"/>
      <c r="W53" s="243" t="s">
        <v>17</v>
      </c>
      <c r="X53" s="248">
        <f>HLOOKUP($C$46, 'Consumption Forecasts'!$B$2:$V$13, 2, FALSE)</f>
        <v>5806.9448509235799</v>
      </c>
      <c r="Y53" s="249">
        <f>HLOOKUP($C$46, 'Consumption Forecasts'!$AA$2:$AU$13, 2, FALSE)</f>
        <v>3244.3553293494688</v>
      </c>
      <c r="Z53" s="246"/>
      <c r="AB53" s="232"/>
      <c r="AC53" s="232"/>
      <c r="AD53" s="232"/>
      <c r="AE53" s="232"/>
      <c r="AF53" s="232"/>
    </row>
    <row r="54" spans="2:32" ht="15" customHeight="1" x14ac:dyDescent="0.3">
      <c r="B54" s="232"/>
      <c r="C54" s="232"/>
      <c r="D54" s="232"/>
      <c r="E54" s="232"/>
      <c r="F54" s="232"/>
      <c r="W54" s="243" t="s">
        <v>18</v>
      </c>
      <c r="X54" s="248">
        <f>HLOOKUP($C$46, 'Consumption Forecasts'!$B$2:$V$13, 4, FALSE)</f>
        <v>8960.3101268901337</v>
      </c>
      <c r="Y54" s="249">
        <f>HLOOKUP($C$46, 'Consumption Forecasts'!$AA$2:$AU$13, 4, FALSE)</f>
        <v>5686.5418159898272</v>
      </c>
      <c r="Z54" s="246"/>
      <c r="AB54" s="232"/>
      <c r="AC54" s="232"/>
      <c r="AD54" s="232"/>
      <c r="AE54" s="232"/>
      <c r="AF54" s="232"/>
    </row>
    <row r="55" spans="2:32" ht="14.4" x14ac:dyDescent="0.3">
      <c r="B55" s="232"/>
      <c r="C55" s="232"/>
      <c r="D55" s="232"/>
      <c r="E55" s="232"/>
      <c r="F55" s="232"/>
      <c r="W55" s="243" t="s">
        <v>12</v>
      </c>
      <c r="X55" s="248">
        <f>HLOOKUP($C$46, 'Consumption Forecasts'!$B$2:$V$13, 6, FALSE)</f>
        <v>2385.3082098952568</v>
      </c>
      <c r="Y55" s="249">
        <f>HLOOKUP($C$46, 'Consumption Forecasts'!$AA$2:$AU$13, 6, FALSE)</f>
        <v>1996.9905799065764</v>
      </c>
      <c r="Z55" s="246"/>
      <c r="AB55" s="232"/>
      <c r="AC55" s="232"/>
      <c r="AD55" s="232"/>
      <c r="AE55" s="232"/>
      <c r="AF55" s="232"/>
    </row>
    <row r="56" spans="2:32" ht="28.8" x14ac:dyDescent="0.3">
      <c r="B56" s="232"/>
      <c r="C56" s="232"/>
      <c r="D56" s="232"/>
      <c r="E56" s="232"/>
      <c r="F56" s="232"/>
      <c r="W56" s="243" t="s">
        <v>6</v>
      </c>
      <c r="X56" s="248">
        <f>HLOOKUP($C$46, 'Consumption Forecasts'!$B$2:$V$13, 8, FALSE)</f>
        <v>361.79111721010747</v>
      </c>
      <c r="Y56" s="249">
        <f>HLOOKUP($C$46, 'Consumption Forecasts'!$AA$2:$AU$13, 8, FALSE)</f>
        <v>111.91083788874448</v>
      </c>
      <c r="Z56" s="246"/>
      <c r="AB56" s="232"/>
      <c r="AC56" s="232"/>
      <c r="AD56" s="232"/>
      <c r="AE56" s="232"/>
      <c r="AF56" s="232"/>
    </row>
    <row r="57" spans="2:32" ht="15" customHeight="1" x14ac:dyDescent="0.3">
      <c r="B57" s="232"/>
      <c r="C57" s="232"/>
      <c r="D57" s="232"/>
      <c r="E57" s="232"/>
      <c r="F57" s="232"/>
      <c r="W57" s="243" t="s">
        <v>8</v>
      </c>
      <c r="X57" s="248">
        <f>HLOOKUP($C$46, 'Consumption Forecasts'!$B$2:$V$13, 10, FALSE)</f>
        <v>71.045695080922073</v>
      </c>
      <c r="Y57" s="249">
        <f>HLOOKUP($C$46, 'Consumption Forecasts'!$AA$2:$AU$13, 10, FALSE)</f>
        <v>71.045695080922073</v>
      </c>
      <c r="Z57" s="246"/>
      <c r="AB57" s="232"/>
      <c r="AC57" s="232"/>
      <c r="AD57" s="232"/>
      <c r="AE57" s="232"/>
      <c r="AF57" s="232"/>
    </row>
    <row r="58" spans="2:32" ht="15" customHeight="1" x14ac:dyDescent="0.3">
      <c r="B58" s="232"/>
      <c r="C58" s="232"/>
      <c r="D58" s="232"/>
      <c r="E58" s="232"/>
      <c r="F58" s="232"/>
      <c r="W58" s="243" t="s">
        <v>16</v>
      </c>
      <c r="X58" s="248">
        <f>HLOOKUP($C$46, 'Consumption Forecasts'!$B$2:$V$13, 12, FALSE)</f>
        <v>17585.400000000001</v>
      </c>
      <c r="Y58" s="249">
        <f>HLOOKUP($C$46, 'Consumption Forecasts'!$AA$2:$AU$13, 12, FALSE)</f>
        <v>11110.844258215539</v>
      </c>
      <c r="AB58" s="232"/>
      <c r="AC58" s="232"/>
      <c r="AD58" s="232"/>
      <c r="AE58" s="232"/>
      <c r="AF58" s="232"/>
    </row>
    <row r="59" spans="2:32" ht="15" customHeight="1" x14ac:dyDescent="0.3">
      <c r="B59" s="232"/>
      <c r="C59" s="232"/>
      <c r="D59" s="232"/>
      <c r="E59" s="232"/>
      <c r="F59" s="232"/>
      <c r="AB59" s="232"/>
      <c r="AC59" s="232"/>
      <c r="AD59" s="232"/>
      <c r="AE59" s="232"/>
      <c r="AF59" s="232"/>
    </row>
    <row r="60" spans="2:32" ht="15" customHeight="1" x14ac:dyDescent="0.3">
      <c r="B60" s="232"/>
      <c r="C60" s="232"/>
      <c r="D60" s="232"/>
      <c r="E60" s="232"/>
      <c r="F60" s="232"/>
      <c r="X60" s="20"/>
      <c r="AB60" s="232"/>
      <c r="AC60" s="232"/>
      <c r="AD60" s="232"/>
      <c r="AE60" s="232"/>
      <c r="AF60" s="232"/>
    </row>
    <row r="61" spans="2:32" ht="15" customHeight="1" x14ac:dyDescent="0.3">
      <c r="B61" s="232"/>
      <c r="C61" s="232"/>
      <c r="D61" s="232"/>
      <c r="E61" s="232"/>
      <c r="F61" s="232"/>
      <c r="X61" s="20"/>
      <c r="AB61" s="232"/>
      <c r="AC61" s="232"/>
      <c r="AD61" s="232"/>
      <c r="AE61" s="232"/>
      <c r="AF61" s="232"/>
    </row>
    <row r="62" spans="2:32" ht="15" customHeight="1" x14ac:dyDescent="0.3">
      <c r="B62" s="232"/>
      <c r="C62" s="232"/>
      <c r="D62" s="232"/>
      <c r="E62" s="232"/>
      <c r="F62" s="232"/>
      <c r="AB62" s="232"/>
      <c r="AC62" s="232"/>
      <c r="AD62" s="232"/>
      <c r="AE62" s="232"/>
      <c r="AF62" s="232"/>
    </row>
    <row r="63" spans="2:32" ht="15" customHeight="1" x14ac:dyDescent="0.3">
      <c r="B63" s="232"/>
      <c r="C63" s="232"/>
      <c r="D63" s="232"/>
      <c r="E63" s="232"/>
      <c r="F63" s="232"/>
      <c r="AB63" s="232"/>
      <c r="AC63" s="232"/>
      <c r="AD63" s="232"/>
      <c r="AE63" s="232"/>
      <c r="AF63" s="232"/>
    </row>
    <row r="64" spans="2:32" ht="15" customHeight="1" x14ac:dyDescent="0.3">
      <c r="B64" s="232"/>
      <c r="C64" s="232"/>
      <c r="D64" s="232"/>
      <c r="E64" s="232"/>
      <c r="F64" s="232"/>
      <c r="AB64" s="232"/>
      <c r="AC64" s="232"/>
      <c r="AD64" s="232"/>
      <c r="AE64" s="232"/>
      <c r="AF64" s="232"/>
    </row>
    <row r="65" spans="28:33" ht="15" customHeight="1" x14ac:dyDescent="0.3">
      <c r="AB65" s="416"/>
      <c r="AC65" s="416"/>
      <c r="AD65" s="416"/>
      <c r="AE65" s="416"/>
      <c r="AF65" s="416"/>
      <c r="AG65" s="416"/>
    </row>
    <row r="66" spans="28:33" ht="15" customHeight="1" x14ac:dyDescent="0.3">
      <c r="AC66" s="416"/>
      <c r="AD66" s="416"/>
      <c r="AE66" s="416"/>
      <c r="AF66" s="416"/>
    </row>
    <row r="67" spans="28:33" ht="15" customHeight="1" x14ac:dyDescent="0.3">
      <c r="AC67" s="416"/>
      <c r="AD67" s="416"/>
      <c r="AE67" s="416"/>
      <c r="AF67" s="416"/>
    </row>
    <row r="68" spans="28:33" ht="15" customHeight="1" x14ac:dyDescent="0.3">
      <c r="AC68" s="416"/>
      <c r="AD68" s="416"/>
      <c r="AE68" s="416"/>
    </row>
    <row r="69" spans="28:33" ht="15" customHeight="1" x14ac:dyDescent="0.3">
      <c r="AC69" s="416"/>
      <c r="AD69" s="416"/>
      <c r="AE69" s="416"/>
    </row>
    <row r="70" spans="28:33" ht="15" customHeight="1" x14ac:dyDescent="0.3">
      <c r="AC70" s="416"/>
      <c r="AD70" s="416"/>
      <c r="AE70" s="416"/>
    </row>
    <row r="71" spans="28:33" ht="15" customHeight="1" x14ac:dyDescent="0.3">
      <c r="AC71" s="416"/>
      <c r="AD71" s="416"/>
      <c r="AE71" s="416"/>
    </row>
    <row r="72" spans="28:33" ht="15" customHeight="1" x14ac:dyDescent="0.3">
      <c r="AC72" s="416"/>
      <c r="AD72" s="416"/>
      <c r="AE72" s="416"/>
    </row>
    <row r="73" spans="28:33" ht="15" customHeight="1" x14ac:dyDescent="0.3">
      <c r="AC73" s="416"/>
      <c r="AD73" s="416"/>
      <c r="AE73" s="416"/>
    </row>
  </sheetData>
  <mergeCells count="67">
    <mergeCell ref="AC30:AE31"/>
    <mergeCell ref="C20:E21"/>
    <mergeCell ref="C16:E17"/>
    <mergeCell ref="C22:E23"/>
    <mergeCell ref="AC16:AE17"/>
    <mergeCell ref="AC18:AE19"/>
    <mergeCell ref="AC5:AE5"/>
    <mergeCell ref="T27:U27"/>
    <mergeCell ref="T25:Y25"/>
    <mergeCell ref="T28:U28"/>
    <mergeCell ref="AC8:AE9"/>
    <mergeCell ref="X14:Y14"/>
    <mergeCell ref="T17:U17"/>
    <mergeCell ref="V12:W12"/>
    <mergeCell ref="V13:W13"/>
    <mergeCell ref="V14:W14"/>
    <mergeCell ref="V15:W15"/>
    <mergeCell ref="AC24:AE25"/>
    <mergeCell ref="AC28:AE29"/>
    <mergeCell ref="AC34:AE35"/>
    <mergeCell ref="AC36:AE37"/>
    <mergeCell ref="T10:Z10"/>
    <mergeCell ref="T12:U12"/>
    <mergeCell ref="T13:U13"/>
    <mergeCell ref="T14:U14"/>
    <mergeCell ref="T15:U15"/>
    <mergeCell ref="T16:U16"/>
    <mergeCell ref="AC10:AE11"/>
    <mergeCell ref="AC22:AE23"/>
    <mergeCell ref="T11:U11"/>
    <mergeCell ref="V11:W11"/>
    <mergeCell ref="X11:Y11"/>
    <mergeCell ref="X12:Y12"/>
    <mergeCell ref="X13:Y13"/>
    <mergeCell ref="V17:W17"/>
    <mergeCell ref="H2:Z2"/>
    <mergeCell ref="I4:J5"/>
    <mergeCell ref="K4:M5"/>
    <mergeCell ref="N4:P5"/>
    <mergeCell ref="Q4:S5"/>
    <mergeCell ref="T4:V5"/>
    <mergeCell ref="W4:Y5"/>
    <mergeCell ref="C5:E5"/>
    <mergeCell ref="V35:X35"/>
    <mergeCell ref="C40:E41"/>
    <mergeCell ref="T30:U30"/>
    <mergeCell ref="C8:E9"/>
    <mergeCell ref="C10:E11"/>
    <mergeCell ref="C14:E15"/>
    <mergeCell ref="C34:E35"/>
    <mergeCell ref="C38:E39"/>
    <mergeCell ref="T31:U31"/>
    <mergeCell ref="T32:U32"/>
    <mergeCell ref="V16:W16"/>
    <mergeCell ref="T9:Y9"/>
    <mergeCell ref="X16:Y16"/>
    <mergeCell ref="X15:Y15"/>
    <mergeCell ref="X17:Y17"/>
    <mergeCell ref="C46:E47"/>
    <mergeCell ref="T26:U26"/>
    <mergeCell ref="W51:Y51"/>
    <mergeCell ref="S33:AA33"/>
    <mergeCell ref="C44:E45"/>
    <mergeCell ref="C32:E33"/>
    <mergeCell ref="T29:U29"/>
    <mergeCell ref="C26:E27"/>
    <mergeCell ref="C28:E29"/>
  </mergeCells>
  <conditionalFormatting sqref="V36:X43">
    <cfRule type="expression" dxfId="8" priority="11">
      <formula>$V36 = $C$34</formula>
    </cfRule>
  </conditionalFormatting>
  <dataValidations count="3">
    <dataValidation type="list" allowBlank="1" showInputMessage="1" showErrorMessage="1" sqref="C10" xr:uid="{44C72988-EEE8-428E-8993-225A7EEA884C}">
      <formula1>"High Demand, Medium Demand, Low Demand"</formula1>
    </dataValidation>
    <dataValidation type="list" allowBlank="1" showInputMessage="1" showErrorMessage="1" sqref="C34:E35" xr:uid="{7A250260-BBBD-46F5-8F92-D878190B30A9}">
      <formula1>$V$36:$V$43</formula1>
    </dataValidation>
    <dataValidation type="list" allowBlank="1" showInputMessage="1" showErrorMessage="1" sqref="C40:E41" xr:uid="{F89F609E-A2C3-49BE-BF13-4133684E715D}">
      <formula1>"Straight-line, S-curve, Logarithmic"</formula1>
    </dataValidation>
  </dataValidations>
  <hyperlinks>
    <hyperlink ref="C16:E17" location="Residential!A1" display="CLICK HERE" xr:uid="{17C25824-6B33-47A0-B5F1-F83B1085FD0C}"/>
    <hyperlink ref="C22:E23" location="Commercial!A1" display="CLICK HERE" xr:uid="{95540263-A779-4ED5-9426-F829060C5804}"/>
    <hyperlink ref="C28:E29" location="Industrial!A1" display="CLICK HERE" xr:uid="{48B89E29-D48F-41DC-A5B5-5BD7C174445C}"/>
  </hyperlinks>
  <pageMargins left="0.25" right="0.25" top="0.75" bottom="0.75" header="0.3" footer="0.3"/>
  <pageSetup scale="48" orientation="landscape" horizontalDpi="1200" verticalDpi="12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5C23858-F4DD-4A22-994A-5EB2C0622C35}">
          <x14:formula1>
            <xm:f>'Consumption Forecasts'!$B$2:$V$2</xm:f>
          </x14:formula1>
          <xm:sqref>C46:E47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DA1D8-8A9F-4A68-B747-3E76866552A7}">
  <sheetPr codeName="Sheet4"/>
  <dimension ref="A1:V187"/>
  <sheetViews>
    <sheetView workbookViewId="0">
      <selection activeCell="C86" sqref="C86"/>
    </sheetView>
  </sheetViews>
  <sheetFormatPr defaultRowHeight="14.4" x14ac:dyDescent="0.3"/>
  <cols>
    <col min="1" max="1" width="29.6640625" customWidth="1"/>
    <col min="2" max="2" width="27.33203125" customWidth="1"/>
    <col min="3" max="3" width="17" customWidth="1"/>
    <col min="4" max="4" width="14.5546875" customWidth="1"/>
    <col min="5" max="5" width="25.6640625" bestFit="1" customWidth="1"/>
    <col min="6" max="6" width="30.6640625" customWidth="1"/>
    <col min="7" max="8" width="25.6640625" bestFit="1" customWidth="1"/>
    <col min="9" max="9" width="24.5546875" bestFit="1" customWidth="1"/>
    <col min="10" max="11" width="10.6640625" bestFit="1" customWidth="1"/>
    <col min="13" max="13" width="24.5546875" bestFit="1" customWidth="1"/>
    <col min="14" max="15" width="10.6640625" bestFit="1" customWidth="1"/>
    <col min="17" max="17" width="24.5546875" bestFit="1" customWidth="1"/>
    <col min="18" max="19" width="10.6640625" bestFit="1" customWidth="1"/>
  </cols>
  <sheetData>
    <row r="1" spans="1:8" ht="18.600000000000001" thickBot="1" x14ac:dyDescent="0.4">
      <c r="A1" s="13" t="s">
        <v>25</v>
      </c>
    </row>
    <row r="2" spans="1:8" x14ac:dyDescent="0.3">
      <c r="C2" s="15" t="s">
        <v>42</v>
      </c>
      <c r="D2" s="12"/>
      <c r="G2" t="s">
        <v>208</v>
      </c>
    </row>
    <row r="3" spans="1:8" ht="15" thickBot="1" x14ac:dyDescent="0.35">
      <c r="C3" s="26">
        <f>SUMIF(Table326[ON OR OFF], "ON",Table326[High reduction])</f>
        <v>0.39752793549254262</v>
      </c>
      <c r="D3" s="26">
        <f>SUM(Table326[Med reduction])</f>
        <v>0.38121998479647584</v>
      </c>
      <c r="E3" s="26">
        <f>SUM(Table326[Low reduction])</f>
        <v>0.35968401679868289</v>
      </c>
      <c r="G3">
        <v>2.25</v>
      </c>
      <c r="H3" t="s">
        <v>187</v>
      </c>
    </row>
    <row r="5" spans="1:8" x14ac:dyDescent="0.3">
      <c r="A5" t="s">
        <v>32</v>
      </c>
      <c r="B5" t="s">
        <v>197</v>
      </c>
      <c r="C5" t="s">
        <v>87</v>
      </c>
      <c r="D5" t="s">
        <v>123</v>
      </c>
      <c r="E5" t="s">
        <v>124</v>
      </c>
      <c r="F5" t="s">
        <v>203</v>
      </c>
    </row>
    <row r="6" spans="1:8" x14ac:dyDescent="0.3">
      <c r="A6" t="s">
        <v>19</v>
      </c>
      <c r="B6" s="27" t="s">
        <v>198</v>
      </c>
      <c r="C6" s="53">
        <f>G88</f>
        <v>0</v>
      </c>
      <c r="D6" s="53">
        <f>H88</f>
        <v>0</v>
      </c>
      <c r="E6" s="53">
        <f>I88</f>
        <v>0</v>
      </c>
      <c r="F6" s="54">
        <v>0.1</v>
      </c>
      <c r="G6" t="s">
        <v>207</v>
      </c>
    </row>
    <row r="7" spans="1:8" x14ac:dyDescent="0.3">
      <c r="A7" t="s">
        <v>20</v>
      </c>
      <c r="B7" s="27" t="s">
        <v>198</v>
      </c>
      <c r="C7" s="53">
        <f>G159</f>
        <v>6.833890746934225E-2</v>
      </c>
      <c r="D7" s="53">
        <f>H159</f>
        <v>6.833890746934225E-2</v>
      </c>
      <c r="E7" s="53">
        <f>I159</f>
        <v>6.833890746934225E-2</v>
      </c>
      <c r="F7" s="54">
        <v>0.1</v>
      </c>
      <c r="G7" t="s">
        <v>207</v>
      </c>
    </row>
    <row r="8" spans="1:8" x14ac:dyDescent="0.3">
      <c r="A8" t="s">
        <v>21</v>
      </c>
      <c r="B8" s="27" t="s">
        <v>198</v>
      </c>
      <c r="C8" s="53">
        <f>G70</f>
        <v>6.7295351730776429E-2</v>
      </c>
      <c r="D8" s="53">
        <f>H70</f>
        <v>6.7295351730776429E-2</v>
      </c>
      <c r="E8" s="53">
        <f>I70</f>
        <v>6.7295351730776429E-2</v>
      </c>
      <c r="F8" s="54">
        <v>0.1</v>
      </c>
      <c r="G8" t="s">
        <v>207</v>
      </c>
    </row>
    <row r="9" spans="1:8" x14ac:dyDescent="0.3">
      <c r="A9" t="s">
        <v>120</v>
      </c>
      <c r="B9" s="27" t="s">
        <v>198</v>
      </c>
      <c r="C9" s="53">
        <f>G109</f>
        <v>7.683856603180822E-2</v>
      </c>
      <c r="D9" s="53">
        <f>H109</f>
        <v>7.683856603180822E-2</v>
      </c>
      <c r="E9" s="53">
        <f>I109</f>
        <v>7.683856603180822E-2</v>
      </c>
      <c r="F9" s="54">
        <v>0.1</v>
      </c>
      <c r="G9" t="s">
        <v>207</v>
      </c>
    </row>
    <row r="10" spans="1:8" x14ac:dyDescent="0.3">
      <c r="A10" t="s">
        <v>121</v>
      </c>
      <c r="B10" s="27" t="s">
        <v>198</v>
      </c>
      <c r="C10" s="53">
        <f>G149</f>
        <v>7.7255277997932192E-2</v>
      </c>
      <c r="D10" s="53">
        <f>H149</f>
        <v>7.7255277997932192E-2</v>
      </c>
      <c r="E10" s="53">
        <f>I149</f>
        <v>7.7255277997932192E-2</v>
      </c>
      <c r="F10" s="54">
        <v>0.1</v>
      </c>
      <c r="G10" t="s">
        <v>207</v>
      </c>
    </row>
    <row r="11" spans="1:8" x14ac:dyDescent="0.3">
      <c r="A11" t="s">
        <v>122</v>
      </c>
      <c r="B11" s="27" t="s">
        <v>198</v>
      </c>
      <c r="C11" s="53">
        <f>IF($B$18="OFF", G169, G175)</f>
        <v>3.7843918693859703E-2</v>
      </c>
      <c r="D11" s="53">
        <f>IF($B$18="OFF", H169, H175)</f>
        <v>1.8921959346929865E-2</v>
      </c>
      <c r="E11" s="53">
        <f>IF($B$18="OFF", I169, I175)</f>
        <v>0</v>
      </c>
      <c r="F11" s="54" t="s">
        <v>225</v>
      </c>
      <c r="G11" t="s">
        <v>207</v>
      </c>
    </row>
    <row r="12" spans="1:8" x14ac:dyDescent="0.3">
      <c r="A12" t="s">
        <v>92</v>
      </c>
      <c r="B12" s="27" t="s">
        <v>198</v>
      </c>
      <c r="C12" s="53">
        <v>0</v>
      </c>
      <c r="D12" s="53">
        <v>0</v>
      </c>
      <c r="E12" s="53">
        <v>0</v>
      </c>
      <c r="F12" s="54">
        <v>0.1</v>
      </c>
      <c r="G12" t="s">
        <v>207</v>
      </c>
    </row>
    <row r="13" spans="1:8" x14ac:dyDescent="0.3">
      <c r="A13" t="s">
        <v>93</v>
      </c>
      <c r="B13" s="27" t="s">
        <v>199</v>
      </c>
      <c r="C13" s="53">
        <v>0</v>
      </c>
      <c r="D13" s="53">
        <v>0</v>
      </c>
      <c r="E13" s="53">
        <v>0</v>
      </c>
      <c r="F13" s="54">
        <v>0</v>
      </c>
      <c r="G13" t="s">
        <v>207</v>
      </c>
    </row>
    <row r="14" spans="1:8" x14ac:dyDescent="0.3">
      <c r="A14" t="s">
        <v>95</v>
      </c>
      <c r="B14" s="27" t="s">
        <v>199</v>
      </c>
      <c r="C14" s="53">
        <v>0</v>
      </c>
      <c r="D14" s="53">
        <v>0</v>
      </c>
      <c r="E14" s="53">
        <v>0</v>
      </c>
      <c r="F14" s="54">
        <v>0.1</v>
      </c>
      <c r="G14" t="s">
        <v>207</v>
      </c>
    </row>
    <row r="15" spans="1:8" x14ac:dyDescent="0.3">
      <c r="A15" t="s">
        <v>200</v>
      </c>
      <c r="B15" s="27" t="s">
        <v>198</v>
      </c>
      <c r="C15" s="53">
        <f>G126</f>
        <v>6.995591356882383E-2</v>
      </c>
      <c r="D15" s="53">
        <f>H126</f>
        <v>6.995591356882383E-2</v>
      </c>
      <c r="E15" s="53">
        <f>I126</f>
        <v>6.995591356882383E-2</v>
      </c>
      <c r="F15" s="54">
        <v>0.1</v>
      </c>
      <c r="G15" t="s">
        <v>207</v>
      </c>
    </row>
    <row r="16" spans="1:8" x14ac:dyDescent="0.3">
      <c r="A16" t="s">
        <v>201</v>
      </c>
      <c r="B16" s="27" t="s">
        <v>198</v>
      </c>
      <c r="C16" s="53">
        <f>G133</f>
        <v>0</v>
      </c>
      <c r="D16" s="53">
        <f>H133</f>
        <v>0</v>
      </c>
      <c r="E16" s="53">
        <f>I133</f>
        <v>0</v>
      </c>
      <c r="F16" s="54">
        <v>0.1</v>
      </c>
      <c r="G16" t="s">
        <v>207</v>
      </c>
    </row>
    <row r="17" spans="1:7" x14ac:dyDescent="0.3">
      <c r="A17" t="s">
        <v>96</v>
      </c>
      <c r="B17" s="27" t="s">
        <v>199</v>
      </c>
      <c r="C17" s="53"/>
      <c r="D17" s="53"/>
      <c r="E17" s="53"/>
      <c r="F17" s="54">
        <v>0</v>
      </c>
      <c r="G17" t="s">
        <v>207</v>
      </c>
    </row>
    <row r="18" spans="1:7" x14ac:dyDescent="0.3">
      <c r="A18" t="s">
        <v>119</v>
      </c>
      <c r="B18" s="27" t="s">
        <v>199</v>
      </c>
      <c r="C18" s="61">
        <f>IF($B$11="OFF",G181, G187)</f>
        <v>5.2280173017261733E-3</v>
      </c>
      <c r="D18" s="61">
        <f>IF($B$11="OFF",H181, H187)</f>
        <v>2.6140086508630866E-3</v>
      </c>
      <c r="E18" s="61">
        <f>IF($B$11="OFF",I181, I187)</f>
        <v>0</v>
      </c>
      <c r="F18" s="62" t="s">
        <v>225</v>
      </c>
    </row>
    <row r="19" spans="1:7" x14ac:dyDescent="0.3">
      <c r="B19" s="14"/>
    </row>
    <row r="20" spans="1:7" x14ac:dyDescent="0.3">
      <c r="B20" s="14"/>
    </row>
    <row r="21" spans="1:7" x14ac:dyDescent="0.3">
      <c r="A21" t="s">
        <v>88</v>
      </c>
      <c r="B21" t="s">
        <v>87</v>
      </c>
      <c r="C21" t="s">
        <v>15</v>
      </c>
      <c r="D21" t="s">
        <v>13</v>
      </c>
      <c r="E21" s="64" t="s">
        <v>30</v>
      </c>
    </row>
    <row r="22" spans="1:7" x14ac:dyDescent="0.3">
      <c r="A22" t="s">
        <v>89</v>
      </c>
      <c r="B22" s="14"/>
    </row>
    <row r="23" spans="1:7" x14ac:dyDescent="0.3">
      <c r="A23" t="s">
        <v>90</v>
      </c>
      <c r="B23" s="14"/>
    </row>
    <row r="24" spans="1:7" x14ac:dyDescent="0.3">
      <c r="A24" t="s">
        <v>91</v>
      </c>
      <c r="B24" s="14"/>
    </row>
    <row r="25" spans="1:7" x14ac:dyDescent="0.3">
      <c r="A25" t="s">
        <v>94</v>
      </c>
      <c r="B25" s="14"/>
    </row>
    <row r="26" spans="1:7" x14ac:dyDescent="0.3">
      <c r="A26" t="s">
        <v>23</v>
      </c>
      <c r="B26" s="14">
        <v>7.0000000000000007E-2</v>
      </c>
      <c r="C26" s="1">
        <v>0.06</v>
      </c>
      <c r="D26" s="1">
        <v>0.05</v>
      </c>
      <c r="E26" t="s">
        <v>226</v>
      </c>
    </row>
    <row r="27" spans="1:7" x14ac:dyDescent="0.3">
      <c r="B27" s="14"/>
    </row>
    <row r="28" spans="1:7" x14ac:dyDescent="0.3">
      <c r="B28" s="14"/>
    </row>
    <row r="29" spans="1:7" x14ac:dyDescent="0.3">
      <c r="B29" s="14"/>
    </row>
    <row r="30" spans="1:7" x14ac:dyDescent="0.3">
      <c r="B30" s="14"/>
    </row>
    <row r="31" spans="1:7" x14ac:dyDescent="0.3">
      <c r="B31" s="14"/>
    </row>
    <row r="35" spans="1:22" x14ac:dyDescent="0.3">
      <c r="A35" t="s">
        <v>19</v>
      </c>
      <c r="B35" t="s">
        <v>14</v>
      </c>
      <c r="C35" t="s">
        <v>15</v>
      </c>
      <c r="D35" t="s">
        <v>13</v>
      </c>
      <c r="E35" t="s">
        <v>40</v>
      </c>
      <c r="G35" t="s">
        <v>20</v>
      </c>
      <c r="H35" t="s">
        <v>30</v>
      </c>
      <c r="I35" t="s">
        <v>40</v>
      </c>
      <c r="K35" t="s">
        <v>21</v>
      </c>
      <c r="L35" t="s">
        <v>30</v>
      </c>
      <c r="M35" t="s">
        <v>31</v>
      </c>
      <c r="O35" t="s">
        <v>22</v>
      </c>
      <c r="P35" t="s">
        <v>30</v>
      </c>
      <c r="Q35" t="s">
        <v>31</v>
      </c>
      <c r="S35" t="s">
        <v>46</v>
      </c>
      <c r="T35" t="s">
        <v>30</v>
      </c>
      <c r="U35" t="s">
        <v>31</v>
      </c>
    </row>
    <row r="36" spans="1:22" x14ac:dyDescent="0.3">
      <c r="A36" t="s">
        <v>26</v>
      </c>
      <c r="B36" s="1">
        <v>0.2</v>
      </c>
      <c r="C36" s="1">
        <v>0.1</v>
      </c>
      <c r="D36" s="1">
        <v>0.01</v>
      </c>
      <c r="E36" t="s">
        <v>56</v>
      </c>
      <c r="G36" t="s">
        <v>34</v>
      </c>
      <c r="H36">
        <v>5</v>
      </c>
      <c r="I36" t="s">
        <v>41</v>
      </c>
      <c r="K36" t="s">
        <v>45</v>
      </c>
      <c r="O36" t="s">
        <v>45</v>
      </c>
      <c r="S36" t="s">
        <v>47</v>
      </c>
    </row>
    <row r="37" spans="1:22" x14ac:dyDescent="0.3">
      <c r="A37" t="s">
        <v>27</v>
      </c>
      <c r="B37">
        <v>2</v>
      </c>
      <c r="C37">
        <v>1.5</v>
      </c>
      <c r="D37">
        <v>0.7</v>
      </c>
      <c r="E37" t="s">
        <v>56</v>
      </c>
      <c r="G37" t="s">
        <v>35</v>
      </c>
      <c r="H37">
        <v>60</v>
      </c>
      <c r="I37" t="s">
        <v>41</v>
      </c>
      <c r="K37" t="s">
        <v>44</v>
      </c>
      <c r="O37" t="s">
        <v>44</v>
      </c>
      <c r="S37" t="s">
        <v>48</v>
      </c>
    </row>
    <row r="38" spans="1:22" x14ac:dyDescent="0.3">
      <c r="A38" t="s">
        <v>28</v>
      </c>
      <c r="B38">
        <v>50</v>
      </c>
      <c r="C38">
        <v>50</v>
      </c>
      <c r="D38">
        <v>50</v>
      </c>
      <c r="E38" t="s">
        <v>56</v>
      </c>
      <c r="G38" t="s">
        <v>36</v>
      </c>
      <c r="H38" s="1">
        <v>0.1</v>
      </c>
      <c r="I38" t="s">
        <v>41</v>
      </c>
    </row>
    <row r="39" spans="1:22" x14ac:dyDescent="0.3">
      <c r="A39" t="s">
        <v>58</v>
      </c>
      <c r="B39" s="1">
        <v>0.2</v>
      </c>
      <c r="C39" s="1">
        <v>0.2</v>
      </c>
      <c r="D39" s="1">
        <v>0.2</v>
      </c>
      <c r="E39" t="s">
        <v>55</v>
      </c>
      <c r="G39" t="s">
        <v>37</v>
      </c>
      <c r="H39">
        <v>25</v>
      </c>
      <c r="I39" s="19" t="s">
        <v>38</v>
      </c>
    </row>
    <row r="40" spans="1:22" x14ac:dyDescent="0.3">
      <c r="A40" t="s">
        <v>29</v>
      </c>
      <c r="B40">
        <v>10</v>
      </c>
      <c r="C40">
        <v>10</v>
      </c>
      <c r="D40">
        <v>10</v>
      </c>
      <c r="E40" t="s">
        <v>56</v>
      </c>
      <c r="G40" t="s">
        <v>39</v>
      </c>
      <c r="I40" t="s">
        <v>43</v>
      </c>
    </row>
    <row r="41" spans="1:22" x14ac:dyDescent="0.3">
      <c r="A41" t="s">
        <v>33</v>
      </c>
      <c r="B41">
        <v>100</v>
      </c>
      <c r="C41">
        <v>100</v>
      </c>
      <c r="D41">
        <v>100</v>
      </c>
      <c r="E41" t="s">
        <v>57</v>
      </c>
    </row>
    <row r="42" spans="1:22" x14ac:dyDescent="0.3">
      <c r="A42" t="s">
        <v>59</v>
      </c>
      <c r="B42">
        <f>B41*B36*B37*B39</f>
        <v>8</v>
      </c>
      <c r="C42">
        <f>C41*C36*C37*C39</f>
        <v>3</v>
      </c>
      <c r="D42">
        <f>D41*D36*D37*D39</f>
        <v>0.13999999999999999</v>
      </c>
      <c r="E42" t="s">
        <v>43</v>
      </c>
    </row>
    <row r="47" spans="1:22" x14ac:dyDescent="0.3">
      <c r="A47" t="s">
        <v>54</v>
      </c>
      <c r="B47">
        <v>2020</v>
      </c>
      <c r="C47">
        <v>2021</v>
      </c>
      <c r="D47">
        <v>2022</v>
      </c>
      <c r="E47">
        <v>2023</v>
      </c>
      <c r="F47">
        <v>2024</v>
      </c>
      <c r="G47">
        <v>2025</v>
      </c>
      <c r="H47">
        <v>2026</v>
      </c>
      <c r="I47">
        <v>2027</v>
      </c>
      <c r="J47">
        <v>2028</v>
      </c>
      <c r="K47">
        <v>2029</v>
      </c>
      <c r="L47">
        <v>2030</v>
      </c>
      <c r="M47">
        <v>2031</v>
      </c>
      <c r="N47">
        <v>2032</v>
      </c>
      <c r="O47">
        <v>2033</v>
      </c>
      <c r="P47">
        <v>2034</v>
      </c>
      <c r="Q47">
        <v>2035</v>
      </c>
      <c r="R47">
        <v>2036</v>
      </c>
      <c r="S47">
        <v>2037</v>
      </c>
      <c r="T47">
        <v>2038</v>
      </c>
      <c r="U47">
        <v>2039</v>
      </c>
      <c r="V47">
        <v>2040</v>
      </c>
    </row>
    <row r="48" spans="1:22" x14ac:dyDescent="0.3">
      <c r="A48" s="10" t="s">
        <v>19</v>
      </c>
      <c r="B48">
        <v>500</v>
      </c>
      <c r="C48" t="e">
        <f>B48*(1+#REF!)*(1-#REF!)</f>
        <v>#REF!</v>
      </c>
      <c r="D48" t="e">
        <f>C48*(1+#REF!)*(1-#REF!)</f>
        <v>#REF!</v>
      </c>
      <c r="E48" t="e">
        <f>D48*(1+#REF!)*(1-#REF!)</f>
        <v>#REF!</v>
      </c>
      <c r="F48" t="e">
        <f>E48*(1+#REF!)*(1-#REF!)</f>
        <v>#REF!</v>
      </c>
      <c r="G48" t="e">
        <f>F48*(1+#REF!)*(1-#REF!)</f>
        <v>#REF!</v>
      </c>
      <c r="H48" t="e">
        <f>G48*(1+#REF!)*(1-#REF!)</f>
        <v>#REF!</v>
      </c>
      <c r="I48" t="e">
        <f>H48*(1+#REF!)*(1-#REF!)</f>
        <v>#REF!</v>
      </c>
      <c r="J48" t="e">
        <f>I48*(1+#REF!)*(1-#REF!)</f>
        <v>#REF!</v>
      </c>
      <c r="K48" t="e">
        <f>J48*(1+#REF!)*(1-#REF!)</f>
        <v>#REF!</v>
      </c>
      <c r="L48" t="e">
        <f>K48*(1+#REF!)*(1-#REF!)</f>
        <v>#REF!</v>
      </c>
      <c r="M48" t="e">
        <f>L48*(1+#REF!)*(1-#REF!)</f>
        <v>#REF!</v>
      </c>
      <c r="N48" t="e">
        <f>M48*(1+#REF!)*(1-#REF!)</f>
        <v>#REF!</v>
      </c>
      <c r="O48" t="e">
        <f>N48*(1+#REF!)*(1-#REF!)</f>
        <v>#REF!</v>
      </c>
      <c r="P48" t="e">
        <f>O48*(1+#REF!)*(1-#REF!)</f>
        <v>#REF!</v>
      </c>
      <c r="Q48" t="e">
        <f>P48*(1+#REF!)*(1-#REF!)</f>
        <v>#REF!</v>
      </c>
      <c r="R48" t="e">
        <f>Q48*(1+#REF!)*(1-#REF!)</f>
        <v>#REF!</v>
      </c>
      <c r="S48" t="e">
        <f>R48*(1+#REF!)*(1-#REF!)</f>
        <v>#REF!</v>
      </c>
      <c r="T48" t="e">
        <f>S48*(1+#REF!)*(1-#REF!)</f>
        <v>#REF!</v>
      </c>
      <c r="U48" t="e">
        <f>T48*(1+#REF!)*(1-#REF!)</f>
        <v>#REF!</v>
      </c>
      <c r="V48" t="e">
        <f>U48*(1+#REF!)*(1-#REF!)</f>
        <v>#REF!</v>
      </c>
    </row>
    <row r="49" spans="1:22" x14ac:dyDescent="0.3">
      <c r="A49" s="11" t="s">
        <v>20</v>
      </c>
      <c r="B49">
        <v>400</v>
      </c>
      <c r="C49" t="e">
        <f>B49*(1+#REF!)*(1-#REF!)</f>
        <v>#REF!</v>
      </c>
      <c r="D49" t="e">
        <f>C49*(1+#REF!)*(1-#REF!)</f>
        <v>#REF!</v>
      </c>
      <c r="E49" t="e">
        <f>D49*(1+#REF!)*(1-#REF!)</f>
        <v>#REF!</v>
      </c>
      <c r="F49" t="e">
        <f>E49*(1+#REF!)*(1-#REF!)</f>
        <v>#REF!</v>
      </c>
      <c r="G49" t="e">
        <f>F49*(1+#REF!)*(1-#REF!)</f>
        <v>#REF!</v>
      </c>
      <c r="H49" t="e">
        <f>G49*(1+#REF!)*(1-#REF!)</f>
        <v>#REF!</v>
      </c>
      <c r="I49" t="e">
        <f>H49*(1+#REF!)*(1-#REF!)</f>
        <v>#REF!</v>
      </c>
      <c r="J49" t="e">
        <f>I49*(1+#REF!)*(1-#REF!)</f>
        <v>#REF!</v>
      </c>
      <c r="K49" t="e">
        <f>J49*(1+#REF!)*(1-#REF!)</f>
        <v>#REF!</v>
      </c>
      <c r="L49" t="e">
        <f>K49*(1+#REF!)*(1-#REF!)</f>
        <v>#REF!</v>
      </c>
      <c r="M49" t="e">
        <f>L49*(1+#REF!)*(1-#REF!)</f>
        <v>#REF!</v>
      </c>
      <c r="N49" t="e">
        <f>M49*(1+#REF!)*(1-#REF!)</f>
        <v>#REF!</v>
      </c>
      <c r="O49" t="e">
        <f>N49*(1+#REF!)*(1-#REF!)</f>
        <v>#REF!</v>
      </c>
      <c r="P49" t="e">
        <f>O49*(1+#REF!)*(1-#REF!)</f>
        <v>#REF!</v>
      </c>
      <c r="Q49" t="e">
        <f>P49*(1+#REF!)*(1-#REF!)</f>
        <v>#REF!</v>
      </c>
      <c r="R49" t="e">
        <f>Q49*(1+#REF!)*(1-#REF!)</f>
        <v>#REF!</v>
      </c>
      <c r="S49" t="e">
        <f>R49*(1+#REF!)*(1-#REF!)</f>
        <v>#REF!</v>
      </c>
      <c r="T49" t="e">
        <f>S49*(1+#REF!)*(1-#REF!)</f>
        <v>#REF!</v>
      </c>
      <c r="U49" t="e">
        <f>T49*(1+#REF!)*(1-#REF!)</f>
        <v>#REF!</v>
      </c>
      <c r="V49" t="e">
        <f>U49*(1+#REF!)*(1-#REF!)</f>
        <v>#REF!</v>
      </c>
    </row>
    <row r="50" spans="1:22" x14ac:dyDescent="0.3">
      <c r="A50" s="10" t="s">
        <v>21</v>
      </c>
      <c r="B50">
        <v>300</v>
      </c>
      <c r="C50" t="e">
        <f>B50*(1+#REF!)*(1-#REF!)</f>
        <v>#REF!</v>
      </c>
      <c r="D50" t="e">
        <f>C50*(1+#REF!)*(1-#REF!)</f>
        <v>#REF!</v>
      </c>
      <c r="E50" t="e">
        <f>D50*(1+#REF!)*(1-#REF!)</f>
        <v>#REF!</v>
      </c>
      <c r="F50" t="e">
        <f>E50*(1+#REF!)*(1-#REF!)</f>
        <v>#REF!</v>
      </c>
      <c r="G50" t="e">
        <f>F50*(1+#REF!)*(1-#REF!)</f>
        <v>#REF!</v>
      </c>
      <c r="H50" t="e">
        <f>G50*(1+#REF!)*(1-#REF!)</f>
        <v>#REF!</v>
      </c>
      <c r="I50" t="e">
        <f>H50*(1+#REF!)*(1-#REF!)</f>
        <v>#REF!</v>
      </c>
      <c r="J50" t="e">
        <f>I50*(1+#REF!)*(1-#REF!)</f>
        <v>#REF!</v>
      </c>
      <c r="K50" t="e">
        <f>J50*(1+#REF!)*(1-#REF!)</f>
        <v>#REF!</v>
      </c>
      <c r="L50" t="e">
        <f>K50*(1+#REF!)*(1-#REF!)</f>
        <v>#REF!</v>
      </c>
      <c r="M50" t="e">
        <f>L50*(1+#REF!)*(1-#REF!)</f>
        <v>#REF!</v>
      </c>
      <c r="N50" t="e">
        <f>M50*(1+#REF!)*(1-#REF!)</f>
        <v>#REF!</v>
      </c>
      <c r="O50" t="e">
        <f>N50*(1+#REF!)*(1-#REF!)</f>
        <v>#REF!</v>
      </c>
      <c r="P50" t="e">
        <f>O50*(1+#REF!)*(1-#REF!)</f>
        <v>#REF!</v>
      </c>
      <c r="Q50" t="e">
        <f>P50*(1+#REF!)*(1-#REF!)</f>
        <v>#REF!</v>
      </c>
      <c r="R50" t="e">
        <f>Q50*(1+#REF!)*(1-#REF!)</f>
        <v>#REF!</v>
      </c>
      <c r="S50" t="e">
        <f>R50*(1+#REF!)*(1-#REF!)</f>
        <v>#REF!</v>
      </c>
      <c r="T50" t="e">
        <f>S50*(1+#REF!)*(1-#REF!)</f>
        <v>#REF!</v>
      </c>
      <c r="U50" t="e">
        <f>T50*(1+#REF!)*(1-#REF!)</f>
        <v>#REF!</v>
      </c>
      <c r="V50" t="e">
        <f>U50*(1+#REF!)*(1-#REF!)</f>
        <v>#REF!</v>
      </c>
    </row>
    <row r="51" spans="1:22" x14ac:dyDescent="0.3">
      <c r="A51" s="11" t="s">
        <v>22</v>
      </c>
      <c r="B51">
        <v>200</v>
      </c>
      <c r="C51" t="e">
        <f>B51*(1+#REF!)*(1-#REF!)</f>
        <v>#REF!</v>
      </c>
      <c r="D51" t="e">
        <f>C51*(1+#REF!)*(1-#REF!)</f>
        <v>#REF!</v>
      </c>
      <c r="E51" t="e">
        <f>D51*(1+#REF!)*(1-#REF!)</f>
        <v>#REF!</v>
      </c>
      <c r="F51" t="e">
        <f>E51*(1+#REF!)*(1-#REF!)</f>
        <v>#REF!</v>
      </c>
      <c r="G51" t="e">
        <f>F51*(1+#REF!)*(1-#REF!)</f>
        <v>#REF!</v>
      </c>
      <c r="H51" t="e">
        <f>G51*(1+#REF!)*(1-#REF!)</f>
        <v>#REF!</v>
      </c>
      <c r="I51" t="e">
        <f>H51*(1+#REF!)*(1-#REF!)</f>
        <v>#REF!</v>
      </c>
      <c r="J51" t="e">
        <f>I51*(1+#REF!)*(1-#REF!)</f>
        <v>#REF!</v>
      </c>
      <c r="K51" t="e">
        <f>J51*(1+#REF!)*(1-#REF!)</f>
        <v>#REF!</v>
      </c>
      <c r="L51" t="e">
        <f>K51*(1+#REF!)*(1-#REF!)</f>
        <v>#REF!</v>
      </c>
      <c r="M51" t="e">
        <f>L51*(1+#REF!)*(1-#REF!)</f>
        <v>#REF!</v>
      </c>
      <c r="N51" t="e">
        <f>M51*(1+#REF!)*(1-#REF!)</f>
        <v>#REF!</v>
      </c>
      <c r="O51" t="e">
        <f>N51*(1+#REF!)*(1-#REF!)</f>
        <v>#REF!</v>
      </c>
      <c r="P51" t="e">
        <f>O51*(1+#REF!)*(1-#REF!)</f>
        <v>#REF!</v>
      </c>
      <c r="Q51" t="e">
        <f>P51*(1+#REF!)*(1-#REF!)</f>
        <v>#REF!</v>
      </c>
      <c r="R51" t="e">
        <f>Q51*(1+#REF!)*(1-#REF!)</f>
        <v>#REF!</v>
      </c>
      <c r="S51" t="e">
        <f>R51*(1+#REF!)*(1-#REF!)</f>
        <v>#REF!</v>
      </c>
      <c r="T51" t="e">
        <f>S51*(1+#REF!)*(1-#REF!)</f>
        <v>#REF!</v>
      </c>
      <c r="U51" t="e">
        <f>T51*(1+#REF!)*(1-#REF!)</f>
        <v>#REF!</v>
      </c>
      <c r="V51" t="e">
        <f>U51*(1+#REF!)*(1-#REF!)</f>
        <v>#REF!</v>
      </c>
    </row>
    <row r="52" spans="1:22" x14ac:dyDescent="0.3">
      <c r="A52" s="10" t="s">
        <v>23</v>
      </c>
      <c r="B52">
        <v>100</v>
      </c>
      <c r="C52" t="e">
        <f>B52*(1+#REF!)*(1-#REF!)</f>
        <v>#REF!</v>
      </c>
      <c r="D52" t="e">
        <f>C52*(1+#REF!)*(1-#REF!)</f>
        <v>#REF!</v>
      </c>
      <c r="E52" t="e">
        <f>D52*(1+#REF!)*(1-#REF!)</f>
        <v>#REF!</v>
      </c>
      <c r="F52" t="e">
        <f>E52*(1+#REF!)*(1-#REF!)</f>
        <v>#REF!</v>
      </c>
      <c r="G52" t="e">
        <f>F52*(1+#REF!)*(1-#REF!)</f>
        <v>#REF!</v>
      </c>
      <c r="H52" t="e">
        <f>G52*(1+#REF!)*(1-#REF!)</f>
        <v>#REF!</v>
      </c>
      <c r="I52" t="e">
        <f>H52*(1+#REF!)*(1-#REF!)</f>
        <v>#REF!</v>
      </c>
      <c r="J52" t="e">
        <f>I52*(1+#REF!)*(1-#REF!)</f>
        <v>#REF!</v>
      </c>
      <c r="K52" t="e">
        <f>J52*(1+#REF!)*(1-#REF!)</f>
        <v>#REF!</v>
      </c>
      <c r="L52" t="e">
        <f>K52*(1+#REF!)*(1-#REF!)</f>
        <v>#REF!</v>
      </c>
      <c r="M52" t="e">
        <f>L52*(1+#REF!)*(1-#REF!)</f>
        <v>#REF!</v>
      </c>
      <c r="N52" t="e">
        <f>M52*(1+#REF!)*(1-#REF!)</f>
        <v>#REF!</v>
      </c>
      <c r="O52" t="e">
        <f>N52*(1+#REF!)*(1-#REF!)</f>
        <v>#REF!</v>
      </c>
      <c r="P52" t="e">
        <f>O52*(1+#REF!)*(1-#REF!)</f>
        <v>#REF!</v>
      </c>
      <c r="Q52" t="e">
        <f>P52*(1+#REF!)*(1-#REF!)</f>
        <v>#REF!</v>
      </c>
      <c r="R52" t="e">
        <f>Q52*(1+#REF!)*(1-#REF!)</f>
        <v>#REF!</v>
      </c>
      <c r="S52" t="e">
        <f>R52*(1+#REF!)*(1-#REF!)</f>
        <v>#REF!</v>
      </c>
      <c r="T52" t="e">
        <f>S52*(1+#REF!)*(1-#REF!)</f>
        <v>#REF!</v>
      </c>
      <c r="U52" t="e">
        <f>T52*(1+#REF!)*(1-#REF!)</f>
        <v>#REF!</v>
      </c>
      <c r="V52" t="e">
        <f>U52*(1+#REF!)*(1-#REF!)</f>
        <v>#REF!</v>
      </c>
    </row>
    <row r="55" spans="1:22" x14ac:dyDescent="0.3">
      <c r="A55" s="39" t="s">
        <v>142</v>
      </c>
      <c r="F55" s="40" t="s">
        <v>24</v>
      </c>
    </row>
    <row r="56" spans="1:22" x14ac:dyDescent="0.3">
      <c r="A56" s="28"/>
      <c r="B56" s="29" t="s">
        <v>206</v>
      </c>
      <c r="C56" s="29" t="s">
        <v>205</v>
      </c>
      <c r="D56" s="29" t="s">
        <v>204</v>
      </c>
      <c r="F56" s="28"/>
      <c r="G56" s="29" t="s">
        <v>206</v>
      </c>
      <c r="H56" s="29" t="s">
        <v>205</v>
      </c>
      <c r="I56" s="29" t="s">
        <v>204</v>
      </c>
    </row>
    <row r="57" spans="1:22" x14ac:dyDescent="0.3">
      <c r="A57" s="30" t="s">
        <v>21</v>
      </c>
      <c r="B57" s="31"/>
      <c r="C57" s="31"/>
      <c r="D57" s="31"/>
      <c r="F57" s="30" t="s">
        <v>21</v>
      </c>
      <c r="G57" s="31"/>
      <c r="H57" s="31"/>
      <c r="I57" s="31"/>
    </row>
    <row r="58" spans="1:22" x14ac:dyDescent="0.3">
      <c r="A58" s="32" t="s">
        <v>138</v>
      </c>
      <c r="B58" s="33"/>
      <c r="C58" s="33"/>
      <c r="D58" s="33"/>
      <c r="F58" s="32" t="s">
        <v>128</v>
      </c>
      <c r="G58" s="33"/>
      <c r="H58" s="33"/>
      <c r="I58" s="33"/>
    </row>
    <row r="59" spans="1:22" x14ac:dyDescent="0.3">
      <c r="A59" s="34" t="s">
        <v>129</v>
      </c>
      <c r="B59" s="47">
        <v>1</v>
      </c>
      <c r="C59" s="47">
        <v>1</v>
      </c>
      <c r="D59" s="47">
        <v>1</v>
      </c>
      <c r="E59" t="s">
        <v>137</v>
      </c>
      <c r="F59" s="34" t="s">
        <v>129</v>
      </c>
      <c r="G59" s="47">
        <v>1</v>
      </c>
      <c r="H59" s="47">
        <v>1</v>
      </c>
      <c r="I59" s="47">
        <v>1</v>
      </c>
      <c r="J59" t="s">
        <v>137</v>
      </c>
    </row>
    <row r="60" spans="1:22" x14ac:dyDescent="0.3">
      <c r="A60" s="34" t="s">
        <v>130</v>
      </c>
      <c r="B60" s="48">
        <v>665.39037037037042</v>
      </c>
      <c r="C60" s="48">
        <v>665.39037037037042</v>
      </c>
      <c r="D60" s="48">
        <v>665.39037037037042</v>
      </c>
      <c r="E60" t="s">
        <v>137</v>
      </c>
      <c r="F60" s="34" t="s">
        <v>130</v>
      </c>
      <c r="G60" s="48">
        <v>489.63055555555565</v>
      </c>
      <c r="H60" s="48">
        <v>489.63055555555565</v>
      </c>
      <c r="I60" s="48">
        <v>489.63055555555565</v>
      </c>
      <c r="J60" t="s">
        <v>137</v>
      </c>
    </row>
    <row r="61" spans="1:22" x14ac:dyDescent="0.3">
      <c r="A61" s="32" t="s">
        <v>139</v>
      </c>
      <c r="B61" s="33"/>
      <c r="C61" s="33"/>
      <c r="D61" s="33"/>
      <c r="E61" t="s">
        <v>137</v>
      </c>
      <c r="F61" s="32" t="s">
        <v>131</v>
      </c>
      <c r="G61" s="33"/>
      <c r="H61" s="33"/>
      <c r="I61" s="33"/>
      <c r="J61" t="s">
        <v>137</v>
      </c>
    </row>
    <row r="62" spans="1:22" x14ac:dyDescent="0.3">
      <c r="A62" s="34" t="s">
        <v>129</v>
      </c>
      <c r="B62" s="47">
        <v>0</v>
      </c>
      <c r="C62" s="47">
        <v>0</v>
      </c>
      <c r="D62" s="47">
        <v>0</v>
      </c>
      <c r="E62" t="s">
        <v>137</v>
      </c>
      <c r="F62" s="34" t="s">
        <v>129</v>
      </c>
      <c r="G62" s="47">
        <v>0</v>
      </c>
      <c r="H62" s="47">
        <v>0</v>
      </c>
      <c r="I62" s="47">
        <v>0</v>
      </c>
      <c r="J62" t="s">
        <v>137</v>
      </c>
    </row>
    <row r="63" spans="1:22" x14ac:dyDescent="0.3">
      <c r="A63" s="34" t="s">
        <v>130</v>
      </c>
      <c r="B63" s="48">
        <v>1181.8333333333333</v>
      </c>
      <c r="C63" s="48">
        <v>1181.8333333333333</v>
      </c>
      <c r="D63" s="48">
        <v>1181.8333333333333</v>
      </c>
      <c r="E63" t="s">
        <v>137</v>
      </c>
      <c r="F63" s="34" t="s">
        <v>130</v>
      </c>
      <c r="G63" s="48">
        <v>489.63055555555565</v>
      </c>
      <c r="H63" s="48">
        <v>489.63055555555565</v>
      </c>
      <c r="I63" s="48">
        <v>489.63055555555565</v>
      </c>
      <c r="J63" t="s">
        <v>137</v>
      </c>
    </row>
    <row r="64" spans="1:22" x14ac:dyDescent="0.3">
      <c r="A64" s="32" t="s">
        <v>140</v>
      </c>
      <c r="B64" s="33"/>
      <c r="C64" s="33"/>
      <c r="D64" s="33"/>
      <c r="E64" t="s">
        <v>137</v>
      </c>
      <c r="F64" s="32" t="s">
        <v>132</v>
      </c>
      <c r="G64" s="33"/>
      <c r="H64" s="33"/>
      <c r="I64" s="33"/>
      <c r="J64" t="s">
        <v>137</v>
      </c>
    </row>
    <row r="65" spans="1:10" x14ac:dyDescent="0.3">
      <c r="A65" s="34" t="s">
        <v>129</v>
      </c>
      <c r="B65" s="47">
        <v>0</v>
      </c>
      <c r="C65" s="47">
        <v>0</v>
      </c>
      <c r="D65" s="47">
        <v>0</v>
      </c>
      <c r="E65" t="s">
        <v>137</v>
      </c>
      <c r="F65" s="34" t="s">
        <v>129</v>
      </c>
      <c r="G65" s="47">
        <v>0</v>
      </c>
      <c r="H65" s="47">
        <v>0</v>
      </c>
      <c r="I65" s="47">
        <v>0</v>
      </c>
      <c r="J65" t="s">
        <v>137</v>
      </c>
    </row>
    <row r="66" spans="1:10" x14ac:dyDescent="0.3">
      <c r="A66" s="34" t="s">
        <v>130</v>
      </c>
      <c r="B66" s="48">
        <v>529.79999999999995</v>
      </c>
      <c r="C66" s="48">
        <v>529.79999999999995</v>
      </c>
      <c r="D66" s="48">
        <v>529.79999999999995</v>
      </c>
      <c r="E66" t="s">
        <v>137</v>
      </c>
      <c r="F66" s="34" t="s">
        <v>130</v>
      </c>
      <c r="G66" s="48">
        <v>310.83499999999998</v>
      </c>
      <c r="H66" s="48">
        <v>310.83499999999998</v>
      </c>
      <c r="I66" s="48">
        <v>310.83499999999998</v>
      </c>
      <c r="J66" t="s">
        <v>137</v>
      </c>
    </row>
    <row r="67" spans="1:10" x14ac:dyDescent="0.3">
      <c r="A67" s="34" t="s">
        <v>141</v>
      </c>
      <c r="B67" s="49">
        <f>B59*B60+B62*B63+B65*B66</f>
        <v>665.39037037037042</v>
      </c>
      <c r="C67" s="49">
        <f>C59*C60+C62*C63+C65*C66</f>
        <v>665.39037037037042</v>
      </c>
      <c r="D67" s="49">
        <f>D59*D60+D62*D63+D65*D66</f>
        <v>665.39037037037042</v>
      </c>
      <c r="E67" t="s">
        <v>137</v>
      </c>
      <c r="F67" s="34" t="s">
        <v>133</v>
      </c>
      <c r="G67" s="49">
        <f>G59*G60+G62*G63+G65*G66</f>
        <v>489.63055555555565</v>
      </c>
      <c r="H67" s="49">
        <f>H59*H60+H62*H63+H65*H66</f>
        <v>489.63055555555565</v>
      </c>
      <c r="I67" s="49">
        <f>I59*I60+I62*I63+I65*I66</f>
        <v>489.63055555555565</v>
      </c>
      <c r="J67" t="s">
        <v>137</v>
      </c>
    </row>
    <row r="68" spans="1:10" x14ac:dyDescent="0.3">
      <c r="A68" s="34" t="s">
        <v>133</v>
      </c>
      <c r="B68" s="49">
        <f>B67*$G$3</f>
        <v>1497.1283333333336</v>
      </c>
      <c r="C68" s="49">
        <f>C67*$G$3</f>
        <v>1497.1283333333336</v>
      </c>
      <c r="D68" s="49">
        <f>D67*$G$3</f>
        <v>1497.1283333333336</v>
      </c>
      <c r="E68" t="s">
        <v>137</v>
      </c>
      <c r="F68" s="32" t="s">
        <v>134</v>
      </c>
      <c r="G68" s="49">
        <f>B68-G67</f>
        <v>1007.4977777777779</v>
      </c>
      <c r="H68" s="49">
        <f>C68-H67</f>
        <v>1007.4977777777779</v>
      </c>
      <c r="I68" s="49">
        <f>D68-I67</f>
        <v>1007.4977777777779</v>
      </c>
      <c r="J68" t="s">
        <v>137</v>
      </c>
    </row>
    <row r="69" spans="1:10" x14ac:dyDescent="0.3">
      <c r="A69" s="32"/>
      <c r="B69" s="38"/>
      <c r="C69" s="38"/>
      <c r="D69" s="38"/>
      <c r="F69" s="32" t="s">
        <v>135</v>
      </c>
      <c r="G69" s="21">
        <f>G68/B68</f>
        <v>0.67295351730776432</v>
      </c>
      <c r="H69" s="21">
        <f>H68/C68</f>
        <v>0.67295351730776432</v>
      </c>
      <c r="I69" s="21">
        <f>I68/D68</f>
        <v>0.67295351730776432</v>
      </c>
      <c r="J69" t="s">
        <v>137</v>
      </c>
    </row>
    <row r="70" spans="1:10" x14ac:dyDescent="0.3">
      <c r="A70" s="32"/>
      <c r="B70" s="38"/>
      <c r="C70" s="38"/>
      <c r="D70" s="38"/>
      <c r="F70" s="32" t="s">
        <v>136</v>
      </c>
      <c r="G70" s="21">
        <f>G69*$F$8</f>
        <v>6.7295351730776429E-2</v>
      </c>
      <c r="H70" s="21">
        <f>H69*$F$8</f>
        <v>6.7295351730776429E-2</v>
      </c>
      <c r="I70" s="21">
        <f>I69*$F$8</f>
        <v>6.7295351730776429E-2</v>
      </c>
      <c r="J70" t="s">
        <v>137</v>
      </c>
    </row>
    <row r="71" spans="1:10" x14ac:dyDescent="0.3">
      <c r="B71" s="29" t="s">
        <v>206</v>
      </c>
      <c r="C71" s="29" t="s">
        <v>205</v>
      </c>
      <c r="D71" s="29" t="s">
        <v>204</v>
      </c>
      <c r="G71" s="29" t="s">
        <v>206</v>
      </c>
      <c r="H71" s="29" t="s">
        <v>205</v>
      </c>
      <c r="I71" s="29" t="s">
        <v>204</v>
      </c>
    </row>
    <row r="72" spans="1:10" x14ac:dyDescent="0.3">
      <c r="A72" s="30" t="s">
        <v>143</v>
      </c>
      <c r="B72" s="31"/>
      <c r="C72" s="31"/>
      <c r="D72" s="31"/>
      <c r="F72" s="30" t="s">
        <v>143</v>
      </c>
      <c r="G72" s="31"/>
      <c r="H72" s="31"/>
      <c r="I72" s="31"/>
    </row>
    <row r="73" spans="1:10" x14ac:dyDescent="0.3">
      <c r="A73" s="32" t="s">
        <v>144</v>
      </c>
      <c r="B73" s="33"/>
      <c r="C73" s="33"/>
      <c r="D73" s="33"/>
      <c r="F73" s="32" t="s">
        <v>144</v>
      </c>
      <c r="G73" s="33"/>
      <c r="H73" s="33"/>
      <c r="I73" s="33"/>
    </row>
    <row r="74" spans="1:10" x14ac:dyDescent="0.3">
      <c r="A74" s="34" t="s">
        <v>129</v>
      </c>
      <c r="B74" s="47">
        <v>0</v>
      </c>
      <c r="C74" s="47">
        <v>0</v>
      </c>
      <c r="D74" s="47">
        <v>0</v>
      </c>
      <c r="F74" s="34" t="s">
        <v>129</v>
      </c>
      <c r="G74" s="47">
        <v>0</v>
      </c>
      <c r="H74" s="47">
        <v>0</v>
      </c>
      <c r="I74" s="47">
        <v>0</v>
      </c>
    </row>
    <row r="75" spans="1:10" x14ac:dyDescent="0.3">
      <c r="A75" s="34" t="s">
        <v>145</v>
      </c>
      <c r="B75" s="51">
        <v>8.6000000000000014</v>
      </c>
      <c r="C75" s="51">
        <v>8.6000000000000014</v>
      </c>
      <c r="D75" s="51">
        <v>8.6000000000000014</v>
      </c>
      <c r="F75" s="34" t="s">
        <v>145</v>
      </c>
      <c r="G75" s="51">
        <v>10.7</v>
      </c>
      <c r="H75" s="51">
        <v>10.7</v>
      </c>
      <c r="I75" s="51">
        <v>10.7</v>
      </c>
    </row>
    <row r="76" spans="1:10" x14ac:dyDescent="0.3">
      <c r="A76" s="34" t="s">
        <v>130</v>
      </c>
      <c r="B76" s="48">
        <v>1853.6294518018815</v>
      </c>
      <c r="C76" s="48">
        <v>1853.6294518018815</v>
      </c>
      <c r="D76" s="48">
        <v>1853.6294518018815</v>
      </c>
      <c r="F76" s="34" t="s">
        <v>130</v>
      </c>
      <c r="G76" s="48">
        <v>1472.5</v>
      </c>
      <c r="H76" s="48">
        <v>1472.5</v>
      </c>
      <c r="I76" s="48">
        <v>1472.5</v>
      </c>
    </row>
    <row r="77" spans="1:10" x14ac:dyDescent="0.3">
      <c r="A77" s="32" t="s">
        <v>146</v>
      </c>
      <c r="B77" s="33"/>
      <c r="C77" s="33"/>
      <c r="D77" s="33"/>
      <c r="F77" s="32" t="s">
        <v>146</v>
      </c>
      <c r="G77" s="33"/>
      <c r="H77" s="33"/>
      <c r="I77" s="33"/>
    </row>
    <row r="78" spans="1:10" x14ac:dyDescent="0.3">
      <c r="A78" s="34" t="s">
        <v>129</v>
      </c>
      <c r="B78" s="47">
        <v>0</v>
      </c>
      <c r="C78" s="47">
        <v>0</v>
      </c>
      <c r="D78" s="47">
        <v>0</v>
      </c>
      <c r="F78" s="34" t="s">
        <v>129</v>
      </c>
      <c r="G78" s="47">
        <v>0</v>
      </c>
      <c r="H78" s="47">
        <v>0</v>
      </c>
      <c r="I78" s="47">
        <v>0</v>
      </c>
    </row>
    <row r="79" spans="1:10" x14ac:dyDescent="0.3">
      <c r="A79" s="34" t="s">
        <v>145</v>
      </c>
      <c r="B79" s="51">
        <v>13.98</v>
      </c>
      <c r="C79" s="51">
        <v>13.98</v>
      </c>
      <c r="D79" s="51">
        <v>13.98</v>
      </c>
      <c r="F79" s="34" t="s">
        <v>145</v>
      </c>
      <c r="G79" s="51">
        <v>18</v>
      </c>
      <c r="H79" s="51">
        <v>18</v>
      </c>
      <c r="I79" s="51">
        <v>18</v>
      </c>
    </row>
    <row r="80" spans="1:10" x14ac:dyDescent="0.3">
      <c r="A80" s="34" t="s">
        <v>130</v>
      </c>
      <c r="B80" s="48">
        <v>3675</v>
      </c>
      <c r="C80" s="48">
        <v>3675</v>
      </c>
      <c r="D80" s="48">
        <v>3675</v>
      </c>
      <c r="F80" s="34" t="s">
        <v>130</v>
      </c>
      <c r="G80" s="48">
        <v>3361</v>
      </c>
      <c r="H80" s="48">
        <v>3361</v>
      </c>
      <c r="I80" s="48">
        <v>3361</v>
      </c>
    </row>
    <row r="81" spans="1:9" x14ac:dyDescent="0.3">
      <c r="A81" s="32" t="s">
        <v>147</v>
      </c>
      <c r="B81" s="33"/>
      <c r="C81" s="33"/>
      <c r="D81" s="33"/>
      <c r="F81" s="32" t="s">
        <v>147</v>
      </c>
      <c r="G81" s="33"/>
      <c r="H81" s="33"/>
      <c r="I81" s="33"/>
    </row>
    <row r="82" spans="1:9" x14ac:dyDescent="0.3">
      <c r="A82" s="34" t="s">
        <v>129</v>
      </c>
      <c r="B82" s="47">
        <v>0</v>
      </c>
      <c r="C82" s="47">
        <v>0</v>
      </c>
      <c r="D82" s="47">
        <v>0</v>
      </c>
      <c r="F82" s="34" t="s">
        <v>129</v>
      </c>
      <c r="G82" s="47">
        <v>0</v>
      </c>
      <c r="H82" s="47">
        <v>0</v>
      </c>
      <c r="I82" s="47">
        <v>0</v>
      </c>
    </row>
    <row r="83" spans="1:9" x14ac:dyDescent="0.3">
      <c r="A83" s="34" t="s">
        <v>145</v>
      </c>
      <c r="B83" s="51">
        <v>13.98</v>
      </c>
      <c r="C83" s="51">
        <v>13.98</v>
      </c>
      <c r="D83" s="51">
        <v>13.98</v>
      </c>
      <c r="F83" s="34" t="s">
        <v>145</v>
      </c>
      <c r="G83" s="51">
        <v>18</v>
      </c>
      <c r="H83" s="51">
        <v>18</v>
      </c>
      <c r="I83" s="51">
        <v>18</v>
      </c>
    </row>
    <row r="84" spans="1:9" x14ac:dyDescent="0.3">
      <c r="A84" s="34" t="s">
        <v>130</v>
      </c>
      <c r="B84" s="48">
        <v>1853.6294518018815</v>
      </c>
      <c r="C84" s="48">
        <v>1853.6294518018815</v>
      </c>
      <c r="D84" s="48">
        <v>1853.6294518018815</v>
      </c>
      <c r="F84" s="34" t="s">
        <v>130</v>
      </c>
      <c r="G84" s="48">
        <v>1472.5</v>
      </c>
      <c r="H84" s="48">
        <v>1472.5</v>
      </c>
      <c r="I84" s="48">
        <v>1472.5</v>
      </c>
    </row>
    <row r="85" spans="1:9" x14ac:dyDescent="0.3">
      <c r="A85" s="34" t="s">
        <v>148</v>
      </c>
      <c r="B85" s="36">
        <f>B74*B76+B78*B80+B82*B84</f>
        <v>0</v>
      </c>
      <c r="C85" s="36">
        <f>C74*C76+C78*C80+C82*C84</f>
        <v>0</v>
      </c>
      <c r="D85" s="36">
        <f>D74*D76+D78*D80+D82*D84</f>
        <v>0</v>
      </c>
      <c r="F85" s="34" t="s">
        <v>149</v>
      </c>
      <c r="G85" s="36">
        <f>G74*G76+G78*G80+G82*G84</f>
        <v>0</v>
      </c>
      <c r="H85" s="36">
        <f>H74*H76+H78*H80+H82*H84</f>
        <v>0</v>
      </c>
      <c r="I85" s="36">
        <f>I74*I76+I78*I80+I82*I84</f>
        <v>0</v>
      </c>
    </row>
    <row r="86" spans="1:9" x14ac:dyDescent="0.3">
      <c r="A86" s="34" t="s">
        <v>149</v>
      </c>
      <c r="B86" s="36">
        <f>B85*$G$3</f>
        <v>0</v>
      </c>
      <c r="C86" s="36">
        <f>C85*$G$3</f>
        <v>0</v>
      </c>
      <c r="D86" s="36">
        <f>D85*$G$3</f>
        <v>0</v>
      </c>
      <c r="F86" s="32" t="s">
        <v>150</v>
      </c>
      <c r="G86" s="37">
        <f>B86-G85</f>
        <v>0</v>
      </c>
      <c r="H86" s="37">
        <f>C86-H85</f>
        <v>0</v>
      </c>
      <c r="I86" s="37">
        <f>D86-I85</f>
        <v>0</v>
      </c>
    </row>
    <row r="87" spans="1:9" x14ac:dyDescent="0.3">
      <c r="F87" s="32" t="s">
        <v>151</v>
      </c>
      <c r="G87" s="38">
        <f>IFERROR(G86/B86,0)</f>
        <v>0</v>
      </c>
      <c r="H87" s="38">
        <f>IFERROR(H86/C86,0)</f>
        <v>0</v>
      </c>
      <c r="I87" s="38">
        <f>IFERROR(I86/D86,0)</f>
        <v>0</v>
      </c>
    </row>
    <row r="88" spans="1:9" x14ac:dyDescent="0.3">
      <c r="F88" s="32" t="s">
        <v>136</v>
      </c>
      <c r="G88" s="38">
        <f>G87*$F$6</f>
        <v>0</v>
      </c>
      <c r="H88" s="38">
        <f>H87*$F$6</f>
        <v>0</v>
      </c>
      <c r="I88" s="38">
        <f>I87*$F$6</f>
        <v>0</v>
      </c>
    </row>
    <row r="90" spans="1:9" x14ac:dyDescent="0.3">
      <c r="A90" s="30" t="s">
        <v>22</v>
      </c>
      <c r="B90" s="31"/>
      <c r="C90" s="31"/>
      <c r="D90" s="31"/>
      <c r="F90" s="30" t="s">
        <v>22</v>
      </c>
      <c r="G90" s="31"/>
      <c r="H90" s="31"/>
      <c r="I90" s="31"/>
    </row>
    <row r="91" spans="1:9" x14ac:dyDescent="0.3">
      <c r="A91" s="32" t="s">
        <v>152</v>
      </c>
      <c r="B91" s="33"/>
      <c r="C91" s="33"/>
      <c r="D91" s="33"/>
      <c r="F91" s="32" t="s">
        <v>152</v>
      </c>
      <c r="G91" s="33"/>
      <c r="H91" s="33"/>
      <c r="I91" s="33"/>
    </row>
    <row r="92" spans="1:9" x14ac:dyDescent="0.3">
      <c r="A92" s="34" t="s">
        <v>129</v>
      </c>
      <c r="B92" s="47">
        <v>1</v>
      </c>
      <c r="C92" s="47">
        <v>1</v>
      </c>
      <c r="D92" s="47">
        <v>1</v>
      </c>
      <c r="F92" s="34" t="s">
        <v>129</v>
      </c>
      <c r="G92" s="47">
        <v>0.45</v>
      </c>
      <c r="H92" s="47">
        <v>0.45</v>
      </c>
      <c r="I92" s="47">
        <v>0.45</v>
      </c>
    </row>
    <row r="93" spans="1:9" x14ac:dyDescent="0.3">
      <c r="A93" s="34" t="s">
        <v>130</v>
      </c>
      <c r="B93" s="48">
        <v>2771.5666666666666</v>
      </c>
      <c r="C93" s="48">
        <v>2771.5666666666666</v>
      </c>
      <c r="D93" s="48">
        <v>2771.5666666666666</v>
      </c>
      <c r="F93" s="34" t="s">
        <v>130</v>
      </c>
      <c r="G93" s="48">
        <v>1594.4499999999998</v>
      </c>
      <c r="H93" s="48">
        <v>1594.4499999999998</v>
      </c>
      <c r="I93" s="48">
        <v>1594.4499999999998</v>
      </c>
    </row>
    <row r="94" spans="1:9" x14ac:dyDescent="0.3">
      <c r="A94" s="32" t="s">
        <v>153</v>
      </c>
      <c r="B94" s="33"/>
      <c r="C94" s="33"/>
      <c r="D94" s="33"/>
      <c r="F94" s="32" t="s">
        <v>153</v>
      </c>
      <c r="G94" s="33"/>
      <c r="H94" s="33"/>
      <c r="I94" s="33"/>
    </row>
    <row r="95" spans="1:9" x14ac:dyDescent="0.3">
      <c r="A95" s="34" t="s">
        <v>129</v>
      </c>
      <c r="B95" s="47">
        <v>0</v>
      </c>
      <c r="C95" s="47">
        <v>0</v>
      </c>
      <c r="D95" s="47">
        <v>0</v>
      </c>
      <c r="F95" s="34" t="s">
        <v>129</v>
      </c>
      <c r="G95" s="47">
        <v>0.05</v>
      </c>
      <c r="H95" s="47">
        <v>0.05</v>
      </c>
      <c r="I95" s="47">
        <v>0.05</v>
      </c>
    </row>
    <row r="96" spans="1:9" x14ac:dyDescent="0.3">
      <c r="A96" s="34" t="s">
        <v>130</v>
      </c>
      <c r="B96" s="48">
        <v>1079.9458624494298</v>
      </c>
      <c r="C96" s="48">
        <v>1079.9458624494298</v>
      </c>
      <c r="D96" s="48">
        <v>1079.9458624494298</v>
      </c>
      <c r="F96" s="34" t="s">
        <v>130</v>
      </c>
      <c r="G96" s="48">
        <v>551.86465612357483</v>
      </c>
      <c r="H96" s="48">
        <v>551.86465612357483</v>
      </c>
      <c r="I96" s="48">
        <v>551.86465612357483</v>
      </c>
    </row>
    <row r="97" spans="1:9" x14ac:dyDescent="0.3">
      <c r="A97" s="32" t="s">
        <v>154</v>
      </c>
      <c r="B97" s="37"/>
      <c r="C97" s="37"/>
      <c r="D97" s="37"/>
      <c r="F97" s="32" t="s">
        <v>154</v>
      </c>
      <c r="G97" s="46"/>
      <c r="H97" s="46"/>
      <c r="I97" s="46"/>
    </row>
    <row r="98" spans="1:9" x14ac:dyDescent="0.3">
      <c r="A98" s="34" t="s">
        <v>129</v>
      </c>
      <c r="B98" s="47">
        <v>0</v>
      </c>
      <c r="C98" s="47">
        <v>0</v>
      </c>
      <c r="D98" s="47">
        <v>0</v>
      </c>
      <c r="F98" s="34" t="s">
        <v>129</v>
      </c>
      <c r="G98" s="47">
        <v>0</v>
      </c>
      <c r="H98" s="47">
        <v>0</v>
      </c>
      <c r="I98" s="47">
        <v>0</v>
      </c>
    </row>
    <row r="99" spans="1:9" x14ac:dyDescent="0.3">
      <c r="A99" s="34" t="s">
        <v>130</v>
      </c>
      <c r="B99" s="48">
        <v>5290.3012048192768</v>
      </c>
      <c r="C99" s="48">
        <v>5290.3012048192768</v>
      </c>
      <c r="D99" s="48">
        <v>5290.3012048192768</v>
      </c>
      <c r="F99" s="34" t="s">
        <v>130</v>
      </c>
      <c r="G99" s="48">
        <v>4435.30303030303</v>
      </c>
      <c r="H99" s="48">
        <v>4435.30303030303</v>
      </c>
      <c r="I99" s="48">
        <v>4435.30303030303</v>
      </c>
    </row>
    <row r="100" spans="1:9" x14ac:dyDescent="0.3">
      <c r="A100" s="32" t="s">
        <v>155</v>
      </c>
      <c r="B100" s="33"/>
      <c r="C100" s="33"/>
      <c r="D100" s="33"/>
      <c r="F100" s="32" t="s">
        <v>155</v>
      </c>
      <c r="G100" s="33"/>
      <c r="H100" s="33"/>
      <c r="I100" s="33"/>
    </row>
    <row r="101" spans="1:9" x14ac:dyDescent="0.3">
      <c r="A101" s="34" t="s">
        <v>129</v>
      </c>
      <c r="B101" s="47">
        <v>0</v>
      </c>
      <c r="C101" s="47">
        <v>0</v>
      </c>
      <c r="D101" s="47">
        <v>0</v>
      </c>
      <c r="F101" s="34" t="s">
        <v>129</v>
      </c>
      <c r="G101" s="47">
        <v>0.5</v>
      </c>
      <c r="H101" s="47">
        <v>0.5</v>
      </c>
      <c r="I101" s="47">
        <v>0.5</v>
      </c>
    </row>
    <row r="102" spans="1:9" x14ac:dyDescent="0.3">
      <c r="A102" s="34" t="s">
        <v>130</v>
      </c>
      <c r="B102" s="48">
        <v>1664.0094397450041</v>
      </c>
      <c r="C102" s="48">
        <v>1664.0094397450041</v>
      </c>
      <c r="D102" s="48">
        <v>1664.0094397450041</v>
      </c>
      <c r="F102" s="34" t="s">
        <v>130</v>
      </c>
      <c r="G102" s="48">
        <v>1398.5141596175063</v>
      </c>
      <c r="H102" s="48">
        <v>1398.5141596175063</v>
      </c>
      <c r="I102" s="48">
        <v>1398.5141596175063</v>
      </c>
    </row>
    <row r="103" spans="1:9" x14ac:dyDescent="0.3">
      <c r="A103" s="32" t="s">
        <v>156</v>
      </c>
      <c r="B103" s="33"/>
      <c r="C103" s="33"/>
      <c r="D103" s="33"/>
      <c r="F103" s="32" t="s">
        <v>156</v>
      </c>
      <c r="G103" s="33"/>
      <c r="H103" s="33"/>
      <c r="I103" s="33"/>
    </row>
    <row r="104" spans="1:9" x14ac:dyDescent="0.3">
      <c r="A104" s="34" t="s">
        <v>129</v>
      </c>
      <c r="B104" s="47">
        <v>0</v>
      </c>
      <c r="C104" s="47">
        <v>0</v>
      </c>
      <c r="D104" s="47">
        <v>0</v>
      </c>
      <c r="F104" s="34" t="s">
        <v>129</v>
      </c>
      <c r="G104" s="47">
        <v>0</v>
      </c>
      <c r="H104" s="47">
        <v>0</v>
      </c>
      <c r="I104" s="47">
        <v>0</v>
      </c>
    </row>
    <row r="105" spans="1:9" x14ac:dyDescent="0.3">
      <c r="A105" s="34" t="s">
        <v>130</v>
      </c>
      <c r="B105" s="48">
        <v>1757.536594336153</v>
      </c>
      <c r="C105" s="48">
        <v>1757.536594336153</v>
      </c>
      <c r="D105" s="48">
        <v>1757.536594336153</v>
      </c>
      <c r="F105" s="34" t="s">
        <v>130</v>
      </c>
      <c r="G105" s="48">
        <v>1757.536594336153</v>
      </c>
      <c r="H105" s="48">
        <v>1757.536594336153</v>
      </c>
      <c r="I105" s="48">
        <v>1757.536594336153</v>
      </c>
    </row>
    <row r="106" spans="1:9" x14ac:dyDescent="0.3">
      <c r="A106" s="34" t="s">
        <v>157</v>
      </c>
      <c r="B106" s="36">
        <f>B92*B93+B95*B96+B98*B99+B101*B102+B104*B105</f>
        <v>2771.5666666666666</v>
      </c>
      <c r="C106" s="36">
        <f>C92*C93+C95*C96+C98*C99+C101*C102+C104*C105</f>
        <v>2771.5666666666666</v>
      </c>
      <c r="D106" s="36">
        <f>D92*D93+D95*D96+D98*D99+D101*D102+D104*D105</f>
        <v>2771.5666666666666</v>
      </c>
      <c r="F106" s="34" t="s">
        <v>158</v>
      </c>
      <c r="G106" s="36">
        <f>G92*G93+G95*G96+G98*G99+G101*G102+G104*G105</f>
        <v>1444.3528126149317</v>
      </c>
      <c r="H106" s="36">
        <f>H92*H93+H95*H96+H98*H99+H101*H102+H104*H105</f>
        <v>1444.3528126149317</v>
      </c>
      <c r="I106" s="36">
        <f>I92*I93+I95*I96+I98*I99+I101*I102+I104*I105</f>
        <v>1444.3528126149317</v>
      </c>
    </row>
    <row r="107" spans="1:9" x14ac:dyDescent="0.3">
      <c r="A107" s="34" t="s">
        <v>158</v>
      </c>
      <c r="B107" s="36">
        <f>B106*MFUnitsPerBuilding</f>
        <v>6236.0249999999996</v>
      </c>
      <c r="C107" s="36">
        <f>C106*MFUnitsPerBuilding</f>
        <v>6236.0249999999996</v>
      </c>
      <c r="D107" s="36">
        <f>D106*MFUnitsPerBuilding</f>
        <v>6236.0249999999996</v>
      </c>
      <c r="F107" s="32" t="s">
        <v>178</v>
      </c>
      <c r="G107" s="37">
        <f>B107-G106</f>
        <v>4791.6721873850674</v>
      </c>
      <c r="H107" s="37">
        <f>C107-H106</f>
        <v>4791.6721873850674</v>
      </c>
      <c r="I107" s="37">
        <f>D107-I106</f>
        <v>4791.6721873850674</v>
      </c>
    </row>
    <row r="108" spans="1:9" x14ac:dyDescent="0.3">
      <c r="F108" s="32" t="s">
        <v>179</v>
      </c>
      <c r="G108" s="38">
        <f>G107/B107</f>
        <v>0.76838566031808209</v>
      </c>
      <c r="H108" s="38">
        <f>H107/C107</f>
        <v>0.76838566031808209</v>
      </c>
      <c r="I108" s="38">
        <f>I107/D107</f>
        <v>0.76838566031808209</v>
      </c>
    </row>
    <row r="109" spans="1:9" x14ac:dyDescent="0.3">
      <c r="F109" s="32" t="s">
        <v>136</v>
      </c>
      <c r="G109" s="38">
        <f>G108*$F$9</f>
        <v>7.683856603180822E-2</v>
      </c>
      <c r="H109" s="38">
        <f>H108*$F$9</f>
        <v>7.683856603180822E-2</v>
      </c>
      <c r="I109" s="38">
        <f>I108*$F$9</f>
        <v>7.683856603180822E-2</v>
      </c>
    </row>
    <row r="110" spans="1:9" x14ac:dyDescent="0.3">
      <c r="A110" s="30" t="s">
        <v>159</v>
      </c>
      <c r="B110" s="31"/>
      <c r="C110" s="31"/>
      <c r="D110" s="31"/>
      <c r="F110" s="30" t="s">
        <v>159</v>
      </c>
      <c r="G110" s="31"/>
      <c r="H110" s="31"/>
      <c r="I110" s="31"/>
    </row>
    <row r="111" spans="1:9" x14ac:dyDescent="0.3">
      <c r="A111" s="55" t="s">
        <v>160</v>
      </c>
      <c r="B111" s="55"/>
      <c r="C111" s="55"/>
      <c r="D111" s="55"/>
      <c r="F111" s="55" t="s">
        <v>160</v>
      </c>
      <c r="G111" s="55"/>
      <c r="H111" s="55"/>
      <c r="I111" s="55"/>
    </row>
    <row r="112" spans="1:9" x14ac:dyDescent="0.3">
      <c r="A112" s="34" t="s">
        <v>129</v>
      </c>
      <c r="B112" s="35">
        <v>0.1</v>
      </c>
      <c r="C112" s="35">
        <v>0.1</v>
      </c>
      <c r="D112" s="35">
        <v>0.1</v>
      </c>
      <c r="F112" s="34" t="s">
        <v>129</v>
      </c>
      <c r="G112" s="35">
        <v>0.1</v>
      </c>
      <c r="H112" s="35">
        <v>0.1</v>
      </c>
      <c r="I112" s="35">
        <v>0.1</v>
      </c>
    </row>
    <row r="113" spans="1:9" x14ac:dyDescent="0.3">
      <c r="A113" s="34" t="s">
        <v>130</v>
      </c>
      <c r="B113" s="36">
        <v>210.22925925925927</v>
      </c>
      <c r="C113" s="36">
        <v>210.22925925925927</v>
      </c>
      <c r="D113" s="36">
        <v>210.22925925925927</v>
      </c>
      <c r="F113" s="34" t="s">
        <v>130</v>
      </c>
      <c r="G113" s="36">
        <v>147.29500000000002</v>
      </c>
      <c r="H113" s="36">
        <v>147.29500000000002</v>
      </c>
      <c r="I113" s="36">
        <v>147.29500000000002</v>
      </c>
    </row>
    <row r="114" spans="1:9" x14ac:dyDescent="0.3">
      <c r="A114" s="55" t="s">
        <v>161</v>
      </c>
      <c r="B114" s="56"/>
      <c r="C114" s="56"/>
      <c r="D114" s="56"/>
      <c r="F114" s="55" t="s">
        <v>180</v>
      </c>
      <c r="G114" s="56"/>
      <c r="H114" s="56"/>
      <c r="I114" s="56"/>
    </row>
    <row r="115" spans="1:9" x14ac:dyDescent="0.3">
      <c r="A115" s="34" t="s">
        <v>129</v>
      </c>
      <c r="B115" s="35">
        <v>1</v>
      </c>
      <c r="C115" s="35">
        <v>1</v>
      </c>
      <c r="D115" s="35">
        <v>1</v>
      </c>
      <c r="F115" s="34" t="s">
        <v>129</v>
      </c>
      <c r="G115" s="35">
        <v>1</v>
      </c>
      <c r="H115" s="35">
        <v>1</v>
      </c>
      <c r="I115" s="35">
        <v>1</v>
      </c>
    </row>
    <row r="116" spans="1:9" x14ac:dyDescent="0.3">
      <c r="A116" s="34" t="s">
        <v>130</v>
      </c>
      <c r="B116" s="36">
        <v>546.52380952380952</v>
      </c>
      <c r="C116" s="36">
        <v>546.52380952380952</v>
      </c>
      <c r="D116" s="36">
        <v>546.52380952380952</v>
      </c>
      <c r="F116" s="34" t="s">
        <v>130</v>
      </c>
      <c r="G116" s="36">
        <v>546</v>
      </c>
      <c r="H116" s="36">
        <v>546</v>
      </c>
      <c r="I116" s="36">
        <v>546</v>
      </c>
    </row>
    <row r="117" spans="1:9" x14ac:dyDescent="0.3">
      <c r="A117" s="55" t="s">
        <v>162</v>
      </c>
      <c r="B117" s="56"/>
      <c r="C117" s="56"/>
      <c r="D117" s="56"/>
      <c r="F117" s="55" t="s">
        <v>162</v>
      </c>
      <c r="G117" s="56"/>
      <c r="H117" s="56"/>
      <c r="I117" s="56"/>
    </row>
    <row r="118" spans="1:9" x14ac:dyDescent="0.3">
      <c r="A118" s="34" t="s">
        <v>129</v>
      </c>
      <c r="B118" s="35">
        <v>0</v>
      </c>
      <c r="C118" s="35">
        <v>0</v>
      </c>
      <c r="D118" s="35">
        <v>0</v>
      </c>
      <c r="F118" s="34" t="s">
        <v>129</v>
      </c>
      <c r="G118" s="35">
        <v>0</v>
      </c>
      <c r="H118" s="35">
        <v>0</v>
      </c>
      <c r="I118" s="35">
        <v>0</v>
      </c>
    </row>
    <row r="119" spans="1:9" x14ac:dyDescent="0.3">
      <c r="A119" s="34" t="s">
        <v>130</v>
      </c>
      <c r="B119" s="36">
        <v>106</v>
      </c>
      <c r="C119" s="36">
        <v>106</v>
      </c>
      <c r="D119" s="36">
        <v>106</v>
      </c>
      <c r="F119" s="34" t="s">
        <v>130</v>
      </c>
      <c r="G119" s="36">
        <v>106</v>
      </c>
      <c r="H119" s="36">
        <v>106</v>
      </c>
      <c r="I119" s="36">
        <v>106</v>
      </c>
    </row>
    <row r="120" spans="1:9" x14ac:dyDescent="0.3">
      <c r="A120" s="30" t="s">
        <v>163</v>
      </c>
      <c r="B120" s="30"/>
      <c r="C120" s="30"/>
      <c r="D120" s="30"/>
      <c r="F120" s="30" t="s">
        <v>192</v>
      </c>
      <c r="G120" s="30"/>
      <c r="H120" s="30"/>
      <c r="I120" s="30"/>
    </row>
    <row r="121" spans="1:9" x14ac:dyDescent="0.3">
      <c r="A121" s="34" t="s">
        <v>129</v>
      </c>
      <c r="B121" s="47">
        <v>0.1</v>
      </c>
      <c r="C121" s="47">
        <v>0.1</v>
      </c>
      <c r="D121" s="47">
        <v>0.1</v>
      </c>
      <c r="F121" s="34" t="s">
        <v>129</v>
      </c>
      <c r="G121" s="47">
        <v>0.1</v>
      </c>
      <c r="H121" s="47">
        <v>0.1</v>
      </c>
      <c r="I121" s="47">
        <v>0.1</v>
      </c>
    </row>
    <row r="122" spans="1:9" x14ac:dyDescent="0.3">
      <c r="A122" s="34" t="s">
        <v>130</v>
      </c>
      <c r="B122" s="48">
        <v>136.09629629629632</v>
      </c>
      <c r="C122" s="48">
        <v>136.09629629629632</v>
      </c>
      <c r="D122" s="48">
        <v>136.09629629629632</v>
      </c>
      <c r="F122" s="34" t="s">
        <v>130</v>
      </c>
      <c r="G122" s="48">
        <v>92</v>
      </c>
      <c r="H122" s="48">
        <v>92</v>
      </c>
      <c r="I122" s="48">
        <v>92</v>
      </c>
    </row>
    <row r="123" spans="1:9" x14ac:dyDescent="0.3">
      <c r="A123" s="34" t="s">
        <v>196</v>
      </c>
      <c r="B123" s="49">
        <f>B121*B122</f>
        <v>13.609629629629632</v>
      </c>
      <c r="C123" s="49">
        <f>C121*C122</f>
        <v>13.609629629629632</v>
      </c>
      <c r="D123" s="49">
        <f>D121*D122</f>
        <v>13.609629629629632</v>
      </c>
      <c r="F123" s="34" t="s">
        <v>193</v>
      </c>
      <c r="G123" s="49">
        <f>G121*G122</f>
        <v>9.2000000000000011</v>
      </c>
      <c r="H123" s="49">
        <f>H121*H122</f>
        <v>9.2000000000000011</v>
      </c>
      <c r="I123" s="49">
        <f>I121*I122</f>
        <v>9.2000000000000011</v>
      </c>
    </row>
    <row r="124" spans="1:9" x14ac:dyDescent="0.3">
      <c r="A124" s="34" t="s">
        <v>209</v>
      </c>
      <c r="B124" s="36">
        <f>B123*MFUnitsPerBuilding</f>
        <v>30.621666666666673</v>
      </c>
      <c r="C124" s="36">
        <f>C123*MFUnitsPerBuilding</f>
        <v>30.621666666666673</v>
      </c>
      <c r="D124" s="36">
        <f>D123*MFUnitsPerBuilding</f>
        <v>30.621666666666673</v>
      </c>
      <c r="F124" s="32" t="s">
        <v>194</v>
      </c>
      <c r="G124" s="49">
        <f>B124-G123</f>
        <v>21.421666666666674</v>
      </c>
      <c r="H124" s="49">
        <f>C124-H123</f>
        <v>21.421666666666674</v>
      </c>
      <c r="I124" s="49">
        <f>D124-I123</f>
        <v>21.421666666666674</v>
      </c>
    </row>
    <row r="125" spans="1:9" x14ac:dyDescent="0.3">
      <c r="A125" s="34"/>
      <c r="B125" s="36"/>
      <c r="C125" s="36"/>
      <c r="D125" s="36"/>
      <c r="F125" s="32" t="s">
        <v>195</v>
      </c>
      <c r="G125" s="52">
        <f>G124/B124</f>
        <v>0.69955913568823824</v>
      </c>
      <c r="H125" s="52">
        <f>H124/C124</f>
        <v>0.69955913568823824</v>
      </c>
      <c r="I125" s="52">
        <f>I124/D124</f>
        <v>0.69955913568823824</v>
      </c>
    </row>
    <row r="126" spans="1:9" x14ac:dyDescent="0.3">
      <c r="A126" s="34"/>
      <c r="B126" s="36"/>
      <c r="C126" s="36"/>
      <c r="D126" s="36"/>
      <c r="F126" s="32" t="s">
        <v>136</v>
      </c>
      <c r="G126" s="52">
        <f>G125*$F$15</f>
        <v>6.995591356882383E-2</v>
      </c>
      <c r="H126" s="52">
        <f>H125*$F$15</f>
        <v>6.995591356882383E-2</v>
      </c>
      <c r="I126" s="52">
        <f>I125*$F$15</f>
        <v>6.995591356882383E-2</v>
      </c>
    </row>
    <row r="127" spans="1:9" x14ac:dyDescent="0.3">
      <c r="A127" s="30" t="s">
        <v>164</v>
      </c>
      <c r="B127" s="30"/>
      <c r="C127" s="30"/>
      <c r="D127" s="30"/>
      <c r="F127" s="30" t="s">
        <v>181</v>
      </c>
      <c r="G127" s="30"/>
      <c r="H127" s="30"/>
      <c r="I127" s="30"/>
    </row>
    <row r="128" spans="1:9" x14ac:dyDescent="0.3">
      <c r="A128" s="34" t="s">
        <v>129</v>
      </c>
      <c r="B128" s="47">
        <v>0</v>
      </c>
      <c r="C128" s="47">
        <v>0</v>
      </c>
      <c r="D128" s="47">
        <v>0</v>
      </c>
      <c r="F128" s="34" t="s">
        <v>129</v>
      </c>
      <c r="G128" s="47">
        <v>0</v>
      </c>
      <c r="H128" s="47">
        <v>0</v>
      </c>
      <c r="I128" s="47">
        <v>0</v>
      </c>
    </row>
    <row r="129" spans="1:9" x14ac:dyDescent="0.3">
      <c r="A129" s="34" t="s">
        <v>130</v>
      </c>
      <c r="B129" s="48">
        <v>567.28041666666672</v>
      </c>
      <c r="C129" s="48">
        <v>567.28041666666672</v>
      </c>
      <c r="D129" s="48">
        <v>567.28041666666672</v>
      </c>
      <c r="F129" s="34" t="s">
        <v>130</v>
      </c>
      <c r="G129" s="48">
        <v>328</v>
      </c>
      <c r="H129" s="48">
        <v>328</v>
      </c>
      <c r="I129" s="48">
        <v>328</v>
      </c>
    </row>
    <row r="130" spans="1:9" x14ac:dyDescent="0.3">
      <c r="A130" s="34" t="s">
        <v>202</v>
      </c>
      <c r="B130" s="36">
        <f>B128*B129</f>
        <v>0</v>
      </c>
      <c r="C130" s="36">
        <f>C128*C129</f>
        <v>0</v>
      </c>
      <c r="D130" s="36">
        <f>D128*D129</f>
        <v>0</v>
      </c>
      <c r="F130" s="34" t="s">
        <v>193</v>
      </c>
      <c r="G130" s="49">
        <f>G128*G129</f>
        <v>0</v>
      </c>
      <c r="H130" s="49">
        <f>H128*H129</f>
        <v>0</v>
      </c>
      <c r="I130" s="49">
        <f>I128*I129</f>
        <v>0</v>
      </c>
    </row>
    <row r="131" spans="1:9" x14ac:dyDescent="0.3">
      <c r="A131" s="34" t="s">
        <v>210</v>
      </c>
      <c r="B131" s="36">
        <f>B130*MFUnitsPerBuilding</f>
        <v>0</v>
      </c>
      <c r="C131" s="36">
        <f>C130*MFUnitsPerBuilding</f>
        <v>0</v>
      </c>
      <c r="D131" s="36">
        <f>D130*MFUnitsPerBuilding</f>
        <v>0</v>
      </c>
      <c r="F131" s="32" t="s">
        <v>194</v>
      </c>
      <c r="G131" s="49">
        <f>B131-G130</f>
        <v>0</v>
      </c>
      <c r="H131" s="49">
        <f>C131-H130</f>
        <v>0</v>
      </c>
      <c r="I131" s="49">
        <f>D131-I130</f>
        <v>0</v>
      </c>
    </row>
    <row r="132" spans="1:9" x14ac:dyDescent="0.3">
      <c r="A132" s="34"/>
      <c r="B132" s="36"/>
      <c r="C132" s="36"/>
      <c r="D132" s="36"/>
      <c r="F132" s="32" t="s">
        <v>195</v>
      </c>
      <c r="G132" s="52">
        <f>IFERROR(G131/B131,0)</f>
        <v>0</v>
      </c>
      <c r="H132" s="52">
        <f>IFERROR(H131/C131,0)</f>
        <v>0</v>
      </c>
      <c r="I132" s="52">
        <f>IFERROR(I131/D131,0)</f>
        <v>0</v>
      </c>
    </row>
    <row r="133" spans="1:9" x14ac:dyDescent="0.3">
      <c r="A133" s="34"/>
      <c r="B133" s="36"/>
      <c r="C133" s="36"/>
      <c r="D133" s="36"/>
      <c r="F133" s="32" t="s">
        <v>136</v>
      </c>
      <c r="G133" s="21">
        <f>G132*$F$16</f>
        <v>0</v>
      </c>
      <c r="H133" s="21">
        <f>H132*$F$16</f>
        <v>0</v>
      </c>
      <c r="I133" s="21">
        <f>I132*$F$16</f>
        <v>0</v>
      </c>
    </row>
    <row r="134" spans="1:9" x14ac:dyDescent="0.3">
      <c r="A134" s="34"/>
      <c r="B134" s="36"/>
      <c r="C134" s="36"/>
      <c r="D134" s="36"/>
      <c r="F134" s="32"/>
      <c r="G134" s="52"/>
      <c r="H134" s="52"/>
      <c r="I134" s="52"/>
    </row>
    <row r="135" spans="1:9" x14ac:dyDescent="0.3">
      <c r="A135" s="55" t="s">
        <v>165</v>
      </c>
      <c r="B135" s="56"/>
      <c r="C135" s="56"/>
      <c r="D135" s="56"/>
      <c r="F135" s="55" t="s">
        <v>165</v>
      </c>
      <c r="G135" s="56"/>
      <c r="H135" s="56"/>
      <c r="I135" s="56"/>
    </row>
    <row r="136" spans="1:9" x14ac:dyDescent="0.3">
      <c r="A136" s="34" t="s">
        <v>129</v>
      </c>
      <c r="B136" s="35">
        <v>1</v>
      </c>
      <c r="C136" s="35">
        <v>1</v>
      </c>
      <c r="D136" s="35">
        <v>1</v>
      </c>
      <c r="F136" s="34" t="s">
        <v>129</v>
      </c>
      <c r="G136" s="35">
        <v>1</v>
      </c>
      <c r="H136" s="35">
        <v>1</v>
      </c>
      <c r="I136" s="35">
        <v>1</v>
      </c>
    </row>
    <row r="137" spans="1:9" x14ac:dyDescent="0.3">
      <c r="A137" s="34" t="s">
        <v>130</v>
      </c>
      <c r="B137" s="36">
        <v>201.10466666666667</v>
      </c>
      <c r="C137" s="36">
        <v>201.10466666666667</v>
      </c>
      <c r="D137" s="36">
        <v>201.10466666666667</v>
      </c>
      <c r="F137" s="34" t="s">
        <v>130</v>
      </c>
      <c r="G137" s="36">
        <v>201.10466666666667</v>
      </c>
      <c r="H137" s="36">
        <v>201.10466666666667</v>
      </c>
      <c r="I137" s="36">
        <v>201.10466666666667</v>
      </c>
    </row>
    <row r="138" spans="1:9" x14ac:dyDescent="0.3">
      <c r="A138" s="55" t="s">
        <v>166</v>
      </c>
      <c r="B138" s="56"/>
      <c r="C138" s="56"/>
      <c r="D138" s="56"/>
      <c r="F138" s="55" t="s">
        <v>166</v>
      </c>
      <c r="G138" s="56"/>
      <c r="H138" s="56"/>
      <c r="I138" s="56"/>
    </row>
    <row r="139" spans="1:9" x14ac:dyDescent="0.3">
      <c r="A139" s="34" t="s">
        <v>167</v>
      </c>
      <c r="B139" s="41">
        <v>3</v>
      </c>
      <c r="C139" s="41">
        <v>3</v>
      </c>
      <c r="D139" s="41">
        <v>3</v>
      </c>
      <c r="F139" s="34" t="s">
        <v>167</v>
      </c>
      <c r="G139" s="41">
        <v>3</v>
      </c>
      <c r="H139" s="41">
        <v>3</v>
      </c>
      <c r="I139" s="41">
        <v>3</v>
      </c>
    </row>
    <row r="140" spans="1:9" x14ac:dyDescent="0.3">
      <c r="A140" s="34" t="s">
        <v>130</v>
      </c>
      <c r="B140" s="36">
        <v>445.83333333333337</v>
      </c>
      <c r="C140" s="36">
        <v>445.83333333333337</v>
      </c>
      <c r="D140" s="36">
        <v>445.83333333333337</v>
      </c>
      <c r="F140" s="34" t="s">
        <v>130</v>
      </c>
      <c r="G140" s="36">
        <v>21.099999999999998</v>
      </c>
      <c r="H140" s="36">
        <v>21.099999999999998</v>
      </c>
      <c r="I140" s="36">
        <v>21.099999999999998</v>
      </c>
    </row>
    <row r="141" spans="1:9" x14ac:dyDescent="0.3">
      <c r="A141" s="30" t="s">
        <v>168</v>
      </c>
      <c r="B141" s="30"/>
      <c r="C141" s="30"/>
      <c r="D141" s="30"/>
      <c r="F141" s="30" t="s">
        <v>168</v>
      </c>
      <c r="G141" s="30"/>
      <c r="H141" s="30"/>
      <c r="I141" s="30"/>
    </row>
    <row r="142" spans="1:9" x14ac:dyDescent="0.3">
      <c r="A142" s="34" t="s">
        <v>169</v>
      </c>
      <c r="B142" s="51">
        <v>4</v>
      </c>
      <c r="C142" s="51">
        <v>4</v>
      </c>
      <c r="D142" s="51">
        <v>4</v>
      </c>
      <c r="F142" s="34" t="s">
        <v>169</v>
      </c>
      <c r="G142" s="51">
        <v>4</v>
      </c>
      <c r="H142" s="51">
        <v>4</v>
      </c>
      <c r="I142" s="51">
        <v>4</v>
      </c>
    </row>
    <row r="143" spans="1:9" x14ac:dyDescent="0.3">
      <c r="A143" s="34" t="s">
        <v>130</v>
      </c>
      <c r="B143" s="48">
        <v>387.63</v>
      </c>
      <c r="C143" s="48">
        <v>387.63</v>
      </c>
      <c r="D143" s="48">
        <v>387.63</v>
      </c>
      <c r="F143" s="34" t="s">
        <v>130</v>
      </c>
      <c r="G143" s="48">
        <v>227.76</v>
      </c>
      <c r="H143" s="48">
        <v>227.76</v>
      </c>
      <c r="I143" s="48">
        <v>227.76</v>
      </c>
    </row>
    <row r="144" spans="1:9" x14ac:dyDescent="0.3">
      <c r="A144" s="34" t="s">
        <v>170</v>
      </c>
      <c r="B144" s="51">
        <v>3</v>
      </c>
      <c r="C144" s="51">
        <v>3</v>
      </c>
      <c r="D144" s="51">
        <v>3</v>
      </c>
      <c r="F144" s="34" t="s">
        <v>170</v>
      </c>
      <c r="G144" s="51">
        <v>3</v>
      </c>
      <c r="H144" s="51">
        <v>3</v>
      </c>
      <c r="I144" s="51">
        <v>3</v>
      </c>
    </row>
    <row r="145" spans="1:9" x14ac:dyDescent="0.3">
      <c r="A145" s="34" t="s">
        <v>130</v>
      </c>
      <c r="B145" s="48">
        <v>164.5</v>
      </c>
      <c r="C145" s="48">
        <v>164.5</v>
      </c>
      <c r="D145" s="48">
        <v>164.5</v>
      </c>
      <c r="F145" s="34" t="s">
        <v>130</v>
      </c>
      <c r="G145" s="48">
        <v>45</v>
      </c>
      <c r="H145" s="48">
        <v>45</v>
      </c>
      <c r="I145" s="48">
        <v>45</v>
      </c>
    </row>
    <row r="146" spans="1:9" x14ac:dyDescent="0.3">
      <c r="A146" s="34" t="s">
        <v>188</v>
      </c>
      <c r="B146" s="49">
        <f>B142*B143+B144*B145</f>
        <v>2044.02</v>
      </c>
      <c r="C146" s="49">
        <f>C142*C143+C144*C145</f>
        <v>2044.02</v>
      </c>
      <c r="D146" s="49">
        <f>D142*D143+D144*D145</f>
        <v>2044.02</v>
      </c>
      <c r="F146" s="34" t="s">
        <v>189</v>
      </c>
      <c r="G146" s="49">
        <f>G142*G143+G144*G145</f>
        <v>1046.04</v>
      </c>
      <c r="H146" s="49">
        <f>H142*H143+H144*H145</f>
        <v>1046.04</v>
      </c>
      <c r="I146" s="49">
        <f>I142*I143+I144*I145</f>
        <v>1046.04</v>
      </c>
    </row>
    <row r="147" spans="1:9" x14ac:dyDescent="0.3">
      <c r="A147" s="34" t="s">
        <v>211</v>
      </c>
      <c r="B147" s="36">
        <f>B146*MFUnitsPerBuilding</f>
        <v>4599.0450000000001</v>
      </c>
      <c r="C147" s="36">
        <f>C146*MFUnitsPerBuilding</f>
        <v>4599.0450000000001</v>
      </c>
      <c r="D147" s="36">
        <f>D146*MFUnitsPerBuilding</f>
        <v>4599.0450000000001</v>
      </c>
      <c r="F147" s="32" t="s">
        <v>190</v>
      </c>
      <c r="G147" s="49">
        <f>B147-G146</f>
        <v>3553.0050000000001</v>
      </c>
      <c r="H147" s="49">
        <f>C147-H146</f>
        <v>3553.0050000000001</v>
      </c>
      <c r="I147" s="49">
        <f>D147-I146</f>
        <v>3553.0050000000001</v>
      </c>
    </row>
    <row r="148" spans="1:9" x14ac:dyDescent="0.3">
      <c r="A148" s="34"/>
      <c r="B148" s="36"/>
      <c r="C148" s="36"/>
      <c r="D148" s="36"/>
      <c r="F148" s="32" t="s">
        <v>191</v>
      </c>
      <c r="G148" s="52">
        <f>G147/B147</f>
        <v>0.77255277997932181</v>
      </c>
      <c r="H148" s="52">
        <f>H147/C147</f>
        <v>0.77255277997932181</v>
      </c>
      <c r="I148" s="52">
        <f>I147/D147</f>
        <v>0.77255277997932181</v>
      </c>
    </row>
    <row r="149" spans="1:9" x14ac:dyDescent="0.3">
      <c r="A149" s="34"/>
      <c r="B149" s="36"/>
      <c r="C149" s="36"/>
      <c r="D149" s="36"/>
      <c r="F149" s="32" t="s">
        <v>136</v>
      </c>
      <c r="G149" s="21">
        <f>G148*$F$10</f>
        <v>7.7255277997932192E-2</v>
      </c>
      <c r="H149" s="21">
        <f>H148*$F$10</f>
        <v>7.7255277997932192E-2</v>
      </c>
      <c r="I149" s="21">
        <f>I148*$F$10</f>
        <v>7.7255277997932192E-2</v>
      </c>
    </row>
    <row r="150" spans="1:9" x14ac:dyDescent="0.3">
      <c r="A150" s="34"/>
      <c r="B150" s="36"/>
      <c r="C150" s="36"/>
      <c r="D150" s="36"/>
      <c r="F150" s="32"/>
      <c r="G150" s="36"/>
      <c r="H150" s="36"/>
      <c r="I150" s="36"/>
    </row>
    <row r="151" spans="1:9" x14ac:dyDescent="0.3">
      <c r="A151" s="34" t="s">
        <v>171</v>
      </c>
      <c r="B151" s="36">
        <v>7282.0177817460317</v>
      </c>
      <c r="C151" s="36">
        <v>5231.5248002645512</v>
      </c>
      <c r="D151" s="36">
        <v>3848.0010687830691</v>
      </c>
      <c r="F151" s="34" t="s">
        <v>172</v>
      </c>
      <c r="G151" s="36">
        <v>2631.7996666666668</v>
      </c>
      <c r="H151" s="36">
        <v>2045.8579166666666</v>
      </c>
      <c r="I151" s="36">
        <v>1566.8446666666666</v>
      </c>
    </row>
    <row r="152" spans="1:9" x14ac:dyDescent="0.3">
      <c r="A152" s="34" t="s">
        <v>172</v>
      </c>
      <c r="B152" s="36">
        <f>B151*MFUnitsPerBuilding</f>
        <v>16384.540008928572</v>
      </c>
      <c r="C152" s="36">
        <f>C151*MFUnitsPerBuilding</f>
        <v>11770.930800595241</v>
      </c>
      <c r="D152" s="36">
        <f>D151*MFUnitsPerBuilding</f>
        <v>8658.0024047619045</v>
      </c>
      <c r="F152" s="32" t="s">
        <v>182</v>
      </c>
      <c r="G152" s="37">
        <v>4650.2181150793649</v>
      </c>
      <c r="H152" s="37">
        <v>3185.6668835978844</v>
      </c>
      <c r="I152" s="37">
        <v>2281.1564021164022</v>
      </c>
    </row>
    <row r="153" spans="1:9" x14ac:dyDescent="0.3">
      <c r="F153" s="32" t="s">
        <v>183</v>
      </c>
      <c r="G153" s="38">
        <v>0.63858922821311315</v>
      </c>
      <c r="H153" s="38">
        <v>0.60893659214552309</v>
      </c>
      <c r="I153" s="38">
        <v>0.59281594816131855</v>
      </c>
    </row>
    <row r="154" spans="1:9" x14ac:dyDescent="0.3">
      <c r="F154" s="32" t="s">
        <v>136</v>
      </c>
      <c r="G154" s="38">
        <v>0.27658242854837684</v>
      </c>
      <c r="H154" s="38">
        <v>0.3071008229180921</v>
      </c>
      <c r="I154" s="38">
        <v>0.28568341683066595</v>
      </c>
    </row>
    <row r="155" spans="1:9" x14ac:dyDescent="0.3">
      <c r="A155" s="30" t="s">
        <v>20</v>
      </c>
      <c r="B155" s="31"/>
      <c r="C155" s="31"/>
      <c r="D155" s="31"/>
      <c r="F155" s="30" t="s">
        <v>20</v>
      </c>
      <c r="G155" s="31"/>
      <c r="H155" s="31"/>
      <c r="I155" s="31"/>
    </row>
    <row r="156" spans="1:9" x14ac:dyDescent="0.3">
      <c r="A156" s="34" t="s">
        <v>173</v>
      </c>
      <c r="B156" s="48">
        <v>567.50199999999995</v>
      </c>
      <c r="C156" s="48">
        <v>567.50199999999995</v>
      </c>
      <c r="D156" s="48">
        <v>567.50199999999995</v>
      </c>
      <c r="E156" t="s">
        <v>187</v>
      </c>
      <c r="F156" s="34" t="s">
        <v>174</v>
      </c>
      <c r="G156" s="48">
        <v>910.56898251324287</v>
      </c>
      <c r="H156" s="48">
        <v>910.56898251324287</v>
      </c>
      <c r="I156" s="48">
        <v>910.56898251324287</v>
      </c>
    </row>
    <row r="157" spans="1:9" x14ac:dyDescent="0.3">
      <c r="A157" s="34" t="s">
        <v>174</v>
      </c>
      <c r="B157" s="48">
        <v>1278.2165529176505</v>
      </c>
      <c r="C157" s="48">
        <v>1278.2165529176505</v>
      </c>
      <c r="D157" s="48">
        <v>1278.2165529176505</v>
      </c>
      <c r="F157" s="32" t="s">
        <v>184</v>
      </c>
      <c r="G157" s="49">
        <f>B158-G156</f>
        <v>1965.4182615514708</v>
      </c>
      <c r="H157" s="49">
        <f>C158-H156</f>
        <v>1965.4182615514708</v>
      </c>
      <c r="I157" s="49">
        <f>D158-I156</f>
        <v>1965.4182615514708</v>
      </c>
    </row>
    <row r="158" spans="1:9" x14ac:dyDescent="0.3">
      <c r="A158" s="34" t="s">
        <v>212</v>
      </c>
      <c r="B158" s="36">
        <f>B157*MFUnitsPerBuilding</f>
        <v>2875.9872440647137</v>
      </c>
      <c r="C158" s="36">
        <f>C157*MFUnitsPerBuilding</f>
        <v>2875.9872440647137</v>
      </c>
      <c r="D158" s="36">
        <f>D157*MFUnitsPerBuilding</f>
        <v>2875.9872440647137</v>
      </c>
      <c r="F158" s="32" t="s">
        <v>185</v>
      </c>
      <c r="G158" s="21">
        <f>G157/B158</f>
        <v>0.68338907469342247</v>
      </c>
      <c r="H158" s="21">
        <f>H157/C158</f>
        <v>0.68338907469342247</v>
      </c>
      <c r="I158" s="21">
        <f>I157/D158</f>
        <v>0.68338907469342247</v>
      </c>
    </row>
    <row r="159" spans="1:9" x14ac:dyDescent="0.3">
      <c r="F159" s="32" t="s">
        <v>136</v>
      </c>
      <c r="G159" s="21">
        <f>G158*$F$7</f>
        <v>6.833890746934225E-2</v>
      </c>
      <c r="H159" s="21">
        <f>H158*$F$7</f>
        <v>6.833890746934225E-2</v>
      </c>
      <c r="I159" s="21">
        <f>I158*$F$7</f>
        <v>6.833890746934225E-2</v>
      </c>
    </row>
    <row r="160" spans="1:9" x14ac:dyDescent="0.3">
      <c r="A160" s="55" t="s">
        <v>175</v>
      </c>
      <c r="B160" s="56"/>
      <c r="C160" s="56"/>
      <c r="D160" s="56"/>
      <c r="F160" s="55" t="s">
        <v>175</v>
      </c>
      <c r="G160" s="56"/>
      <c r="H160" s="56"/>
      <c r="I160" s="56"/>
    </row>
    <row r="161" spans="1:10" x14ac:dyDescent="0.3">
      <c r="A161" s="34" t="s">
        <v>176</v>
      </c>
      <c r="B161" s="42">
        <v>0</v>
      </c>
      <c r="C161" s="42">
        <v>0</v>
      </c>
      <c r="D161" s="42">
        <v>0</v>
      </c>
      <c r="F161" s="34" t="s">
        <v>177</v>
      </c>
      <c r="G161" s="36">
        <v>-1318</v>
      </c>
      <c r="H161" s="36">
        <v>-338</v>
      </c>
      <c r="I161" s="36">
        <v>0</v>
      </c>
    </row>
    <row r="162" spans="1:10" x14ac:dyDescent="0.3">
      <c r="A162" s="34" t="s">
        <v>177</v>
      </c>
      <c r="B162" s="36">
        <v>0</v>
      </c>
      <c r="C162" s="36">
        <v>0</v>
      </c>
      <c r="D162" s="36">
        <v>0</v>
      </c>
      <c r="F162" s="32" t="s">
        <v>186</v>
      </c>
      <c r="G162" s="33" t="e">
        <v>#DIV/0!</v>
      </c>
      <c r="H162" s="33" t="e">
        <v>#DIV/0!</v>
      </c>
      <c r="I162" s="33" t="e">
        <v>#DIV/0!</v>
      </c>
    </row>
    <row r="163" spans="1:10" x14ac:dyDescent="0.3">
      <c r="F163" s="32" t="s">
        <v>136</v>
      </c>
      <c r="G163" s="38">
        <v>-7.8391084419174431E-2</v>
      </c>
      <c r="H163" s="38">
        <v>-3.2583469000086906E-2</v>
      </c>
      <c r="I163" s="38">
        <v>0</v>
      </c>
    </row>
    <row r="165" spans="1:10" x14ac:dyDescent="0.3">
      <c r="A165" s="30" t="s">
        <v>213</v>
      </c>
      <c r="B165" s="31"/>
      <c r="C165" s="31"/>
      <c r="D165" s="31"/>
      <c r="F165" s="30" t="s">
        <v>222</v>
      </c>
      <c r="G165" s="31"/>
      <c r="H165" s="31"/>
      <c r="I165" s="31"/>
    </row>
    <row r="166" spans="1:10" x14ac:dyDescent="0.3">
      <c r="B166" s="4"/>
      <c r="C166" s="4"/>
      <c r="D166" s="4"/>
      <c r="F166" s="33" t="s">
        <v>215</v>
      </c>
      <c r="G166" s="58">
        <v>274</v>
      </c>
      <c r="H166" s="58">
        <v>274</v>
      </c>
      <c r="I166" s="58">
        <v>274</v>
      </c>
      <c r="J166" t="s">
        <v>224</v>
      </c>
    </row>
    <row r="167" spans="1:10" x14ac:dyDescent="0.3">
      <c r="B167" s="50"/>
      <c r="C167" s="50"/>
      <c r="D167" s="50"/>
      <c r="F167" s="33" t="s">
        <v>216</v>
      </c>
      <c r="G167" s="60">
        <v>3.7843918693859703E-2</v>
      </c>
      <c r="H167" s="60">
        <v>3.7843918693859731E-2</v>
      </c>
      <c r="I167" s="60">
        <v>3.7843918693859731E-2</v>
      </c>
      <c r="J167" t="s">
        <v>224</v>
      </c>
    </row>
    <row r="168" spans="1:10" x14ac:dyDescent="0.3">
      <c r="B168" s="57"/>
      <c r="C168" s="57"/>
      <c r="D168" s="57"/>
      <c r="F168" s="33" t="s">
        <v>214</v>
      </c>
      <c r="G168" s="59">
        <v>1</v>
      </c>
      <c r="H168" s="59">
        <v>0.5</v>
      </c>
      <c r="I168" s="59">
        <v>0</v>
      </c>
      <c r="J168" t="s">
        <v>224</v>
      </c>
    </row>
    <row r="169" spans="1:10" x14ac:dyDescent="0.3">
      <c r="B169">
        <v>0</v>
      </c>
      <c r="F169" s="33" t="s">
        <v>217</v>
      </c>
      <c r="G169" s="38">
        <f>G167*G168</f>
        <v>3.7843918693859703E-2</v>
      </c>
      <c r="H169" s="38">
        <f>H167*H168</f>
        <v>1.8921959346929865E-2</v>
      </c>
      <c r="I169" s="38">
        <f>I167*I168</f>
        <v>0</v>
      </c>
      <c r="J169" t="s">
        <v>224</v>
      </c>
    </row>
    <row r="170" spans="1:10" x14ac:dyDescent="0.3">
      <c r="F170" s="33"/>
      <c r="G170" s="38"/>
      <c r="H170" s="38"/>
      <c r="I170" s="38"/>
      <c r="J170" t="s">
        <v>224</v>
      </c>
    </row>
    <row r="171" spans="1:10" x14ac:dyDescent="0.3">
      <c r="A171" s="30" t="s">
        <v>213</v>
      </c>
      <c r="B171" s="31"/>
      <c r="C171" s="31"/>
      <c r="D171" s="31"/>
      <c r="F171" s="30" t="s">
        <v>223</v>
      </c>
      <c r="G171" s="31"/>
      <c r="H171" s="31"/>
      <c r="I171" s="31"/>
      <c r="J171" t="s">
        <v>224</v>
      </c>
    </row>
    <row r="172" spans="1:10" x14ac:dyDescent="0.3">
      <c r="B172" s="4"/>
      <c r="C172" s="4"/>
      <c r="D172" s="4"/>
      <c r="F172" s="33" t="s">
        <v>215</v>
      </c>
      <c r="G172" s="58">
        <v>-240</v>
      </c>
      <c r="H172" s="58">
        <v>-240</v>
      </c>
      <c r="I172" s="58">
        <v>-240</v>
      </c>
      <c r="J172" t="s">
        <v>224</v>
      </c>
    </row>
    <row r="173" spans="1:10" x14ac:dyDescent="0.3">
      <c r="B173" s="50"/>
      <c r="C173" s="50"/>
      <c r="D173" s="50"/>
      <c r="F173" s="33" t="s">
        <v>216</v>
      </c>
      <c r="G173" s="60">
        <v>-3.3045481413061219E-2</v>
      </c>
      <c r="H173" s="60">
        <v>-3.3045481413061219E-2</v>
      </c>
      <c r="I173" s="60">
        <v>-3.3045481413061219E-2</v>
      </c>
      <c r="J173" t="s">
        <v>224</v>
      </c>
    </row>
    <row r="174" spans="1:10" x14ac:dyDescent="0.3">
      <c r="B174" s="57"/>
      <c r="C174" s="57"/>
      <c r="D174" s="57"/>
      <c r="F174" s="33" t="s">
        <v>214</v>
      </c>
      <c r="G174" s="59">
        <v>1</v>
      </c>
      <c r="H174" s="59">
        <v>0.5</v>
      </c>
      <c r="I174" s="59">
        <v>0</v>
      </c>
      <c r="J174" t="s">
        <v>224</v>
      </c>
    </row>
    <row r="175" spans="1:10" x14ac:dyDescent="0.3">
      <c r="B175">
        <v>0</v>
      </c>
      <c r="F175" s="33" t="s">
        <v>217</v>
      </c>
      <c r="G175" s="38">
        <f>G173*G174</f>
        <v>-3.3045481413061219E-2</v>
      </c>
      <c r="H175" s="38">
        <f>H173*H174</f>
        <v>-1.6522740706530609E-2</v>
      </c>
      <c r="I175" s="38">
        <f>I173*I174</f>
        <v>0</v>
      </c>
      <c r="J175" t="s">
        <v>224</v>
      </c>
    </row>
    <row r="176" spans="1:10" x14ac:dyDescent="0.3">
      <c r="J176" t="s">
        <v>224</v>
      </c>
    </row>
    <row r="177" spans="1:10" x14ac:dyDescent="0.3">
      <c r="A177" s="30" t="s">
        <v>119</v>
      </c>
      <c r="B177" s="31"/>
      <c r="C177" s="31"/>
      <c r="D177" s="31"/>
      <c r="F177" s="30" t="s">
        <v>221</v>
      </c>
      <c r="G177" s="31"/>
      <c r="H177" s="31"/>
      <c r="I177" s="31"/>
      <c r="J177" t="s">
        <v>224</v>
      </c>
    </row>
    <row r="178" spans="1:10" x14ac:dyDescent="0.3">
      <c r="B178" s="4"/>
      <c r="C178" s="4"/>
      <c r="D178" s="4"/>
      <c r="F178" s="33" t="s">
        <v>215</v>
      </c>
      <c r="G178" s="58">
        <v>552</v>
      </c>
      <c r="H178" s="58">
        <v>552</v>
      </c>
      <c r="I178" s="58">
        <v>552</v>
      </c>
      <c r="J178" t="s">
        <v>224</v>
      </c>
    </row>
    <row r="179" spans="1:10" x14ac:dyDescent="0.3">
      <c r="B179" s="50"/>
      <c r="C179" s="50"/>
      <c r="D179" s="50"/>
      <c r="F179" s="33" t="s">
        <v>216</v>
      </c>
      <c r="G179" s="60">
        <v>7.6117417408647123E-2</v>
      </c>
      <c r="H179" s="60">
        <v>7.6117417408647123E-2</v>
      </c>
      <c r="I179" s="60">
        <v>7.6117417408647123E-2</v>
      </c>
      <c r="J179" t="s">
        <v>224</v>
      </c>
    </row>
    <row r="180" spans="1:10" x14ac:dyDescent="0.3">
      <c r="B180" s="57"/>
      <c r="C180" s="57"/>
      <c r="D180" s="57"/>
      <c r="F180" s="33" t="s">
        <v>214</v>
      </c>
      <c r="G180" s="59">
        <v>1</v>
      </c>
      <c r="H180" s="59">
        <v>0.5</v>
      </c>
      <c r="I180" s="59">
        <v>0</v>
      </c>
      <c r="J180" t="s">
        <v>224</v>
      </c>
    </row>
    <row r="181" spans="1:10" x14ac:dyDescent="0.3">
      <c r="B181">
        <v>0</v>
      </c>
      <c r="F181" s="33" t="s">
        <v>218</v>
      </c>
      <c r="G181" s="38">
        <f>G179*G180</f>
        <v>7.6117417408647123E-2</v>
      </c>
      <c r="H181" s="38">
        <f>H179*H180</f>
        <v>3.8058708704323561E-2</v>
      </c>
      <c r="I181" s="38">
        <f>I179*I180</f>
        <v>0</v>
      </c>
      <c r="J181" t="s">
        <v>224</v>
      </c>
    </row>
    <row r="182" spans="1:10" x14ac:dyDescent="0.3">
      <c r="J182" t="s">
        <v>224</v>
      </c>
    </row>
    <row r="183" spans="1:10" x14ac:dyDescent="0.3">
      <c r="F183" s="30" t="s">
        <v>220</v>
      </c>
      <c r="G183" s="31"/>
      <c r="H183" s="31"/>
      <c r="I183" s="31"/>
      <c r="J183" t="s">
        <v>224</v>
      </c>
    </row>
    <row r="184" spans="1:10" x14ac:dyDescent="0.3">
      <c r="F184" s="33" t="s">
        <v>215</v>
      </c>
      <c r="G184" s="58">
        <v>38</v>
      </c>
      <c r="H184" s="58">
        <v>38</v>
      </c>
      <c r="I184" s="58">
        <v>38</v>
      </c>
      <c r="J184" t="s">
        <v>224</v>
      </c>
    </row>
    <row r="185" spans="1:10" x14ac:dyDescent="0.3">
      <c r="A185" s="30"/>
      <c r="B185" s="43"/>
      <c r="C185" s="43"/>
      <c r="F185" s="33" t="s">
        <v>216</v>
      </c>
      <c r="G185" s="60">
        <v>5.2280173017261733E-3</v>
      </c>
      <c r="H185" s="60">
        <v>5.2280173017261733E-3</v>
      </c>
      <c r="I185" s="60">
        <v>5.2280173017261733E-3</v>
      </c>
      <c r="J185" t="s">
        <v>224</v>
      </c>
    </row>
    <row r="186" spans="1:10" x14ac:dyDescent="0.3">
      <c r="A186" s="44"/>
      <c r="B186" s="45"/>
      <c r="C186" s="45"/>
      <c r="E186" s="43"/>
      <c r="F186" s="33" t="s">
        <v>214</v>
      </c>
      <c r="G186" s="59">
        <v>1</v>
      </c>
      <c r="H186" s="59">
        <v>0.5</v>
      </c>
      <c r="I186" s="59">
        <v>0</v>
      </c>
      <c r="J186" t="s">
        <v>224</v>
      </c>
    </row>
    <row r="187" spans="1:10" x14ac:dyDescent="0.3">
      <c r="E187" s="45"/>
      <c r="F187" s="33" t="s">
        <v>219</v>
      </c>
      <c r="G187" s="38">
        <f>G185*G186</f>
        <v>5.2280173017261733E-3</v>
      </c>
      <c r="H187" s="38">
        <f>H185*H186</f>
        <v>2.6140086508630866E-3</v>
      </c>
      <c r="I187" s="38">
        <f>I185*I186</f>
        <v>0</v>
      </c>
      <c r="J187" t="s">
        <v>224</v>
      </c>
    </row>
  </sheetData>
  <conditionalFormatting sqref="B6:B18">
    <cfRule type="containsText" dxfId="7" priority="1" operator="containsText" text="OFF">
      <formula>NOT(ISERROR(SEARCH("OFF",B6)))</formula>
    </cfRule>
    <cfRule type="containsText" dxfId="6" priority="2" operator="containsText" text="ON">
      <formula>NOT(ISERROR(SEARCH("ON",B6)))</formula>
    </cfRule>
  </conditionalFormatting>
  <dataValidations count="1">
    <dataValidation type="list" allowBlank="1" showInputMessage="1" showErrorMessage="1" sqref="B6:B18" xr:uid="{FB78C8D5-3FAA-486E-978F-25BCC996FF5D}">
      <formula1>"ON, OFF"</formula1>
    </dataValidation>
  </dataValidations>
  <pageMargins left="0.7" right="0.7" top="0.75" bottom="0.75" header="0.3" footer="0.3"/>
  <tableParts count="7">
    <tablePart r:id="rId1"/>
    <tablePart r:id="rId2"/>
    <tablePart r:id="rId3"/>
    <tablePart r:id="rId4"/>
    <tablePart r:id="rId5"/>
    <tablePart r:id="rId6"/>
    <tablePart r:id="rId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D6924-5B0C-4448-9099-B49B7BB0E267}">
  <sheetPr codeName="Sheet19"/>
  <dimension ref="B1:R12"/>
  <sheetViews>
    <sheetView showGridLines="0" showRowColHeaders="0" zoomScaleNormal="100" workbookViewId="0">
      <selection activeCell="A2" sqref="A2"/>
    </sheetView>
  </sheetViews>
  <sheetFormatPr defaultColWidth="10.5546875" defaultRowHeight="15" customHeight="1" x14ac:dyDescent="0.3"/>
  <cols>
    <col min="2" max="2" width="10.5546875" customWidth="1"/>
    <col min="4" max="9" width="10.5546875" customWidth="1"/>
    <col min="11" max="15" width="10.5546875" customWidth="1"/>
    <col min="17" max="18" width="10.5546875" customWidth="1"/>
  </cols>
  <sheetData>
    <row r="1" spans="2:18" ht="15" customHeight="1" thickBot="1" x14ac:dyDescent="0.35"/>
    <row r="2" spans="2:18" ht="15" customHeight="1" x14ac:dyDescent="0.3">
      <c r="B2" s="463" t="s">
        <v>949</v>
      </c>
      <c r="C2" s="464"/>
      <c r="D2" s="467" t="s">
        <v>947</v>
      </c>
      <c r="E2" s="468"/>
      <c r="F2" s="469"/>
      <c r="G2" s="473" t="s">
        <v>948</v>
      </c>
      <c r="H2" s="474"/>
      <c r="I2" s="475"/>
      <c r="J2" s="479" t="s">
        <v>950</v>
      </c>
      <c r="K2" s="480"/>
      <c r="L2" s="481"/>
      <c r="M2" s="485" t="s">
        <v>951</v>
      </c>
      <c r="N2" s="486"/>
      <c r="O2" s="464"/>
      <c r="P2" s="489" t="s">
        <v>952</v>
      </c>
      <c r="Q2" s="489"/>
      <c r="R2" s="490"/>
    </row>
    <row r="3" spans="2:18" ht="15" customHeight="1" thickBot="1" x14ac:dyDescent="0.35">
      <c r="B3" s="465"/>
      <c r="C3" s="466"/>
      <c r="D3" s="470"/>
      <c r="E3" s="471"/>
      <c r="F3" s="472"/>
      <c r="G3" s="476"/>
      <c r="H3" s="477"/>
      <c r="I3" s="478"/>
      <c r="J3" s="482"/>
      <c r="K3" s="483"/>
      <c r="L3" s="484"/>
      <c r="M3" s="487"/>
      <c r="N3" s="488"/>
      <c r="O3" s="466"/>
      <c r="P3" s="491"/>
      <c r="Q3" s="491"/>
      <c r="R3" s="492"/>
    </row>
    <row r="5" spans="2:18" ht="15" customHeight="1" x14ac:dyDescent="0.35">
      <c r="B5" s="334" t="s">
        <v>551</v>
      </c>
      <c r="C5" s="278"/>
      <c r="D5" s="278"/>
      <c r="E5" s="278"/>
      <c r="F5" s="278"/>
      <c r="G5" s="278"/>
      <c r="H5" s="278"/>
      <c r="I5" s="278"/>
      <c r="J5" s="278"/>
    </row>
    <row r="6" spans="2:18" ht="15" customHeight="1" x14ac:dyDescent="0.3">
      <c r="B6" s="278" t="s">
        <v>970</v>
      </c>
      <c r="C6" s="278" t="s">
        <v>550</v>
      </c>
      <c r="D6" s="278"/>
      <c r="E6" s="278"/>
      <c r="F6" s="278"/>
      <c r="G6" s="278"/>
      <c r="H6" s="278"/>
      <c r="I6" s="278"/>
      <c r="J6" s="278"/>
    </row>
    <row r="7" spans="2:18" ht="15" customHeight="1" x14ac:dyDescent="0.3">
      <c r="B7" s="278" t="s">
        <v>971</v>
      </c>
      <c r="C7" s="278" t="s">
        <v>549</v>
      </c>
      <c r="D7" s="278"/>
      <c r="E7" s="278"/>
      <c r="F7" s="278"/>
      <c r="G7" s="278"/>
      <c r="H7" s="278"/>
      <c r="I7" s="278"/>
      <c r="J7" s="278"/>
    </row>
    <row r="8" spans="2:18" ht="15" customHeight="1" x14ac:dyDescent="0.3">
      <c r="B8" s="278" t="s">
        <v>972</v>
      </c>
      <c r="C8" s="278" t="s">
        <v>547</v>
      </c>
      <c r="D8" s="278"/>
      <c r="E8" s="278"/>
      <c r="F8" s="278"/>
      <c r="G8" s="278"/>
      <c r="H8" s="278"/>
      <c r="I8" s="278"/>
      <c r="J8" s="278"/>
    </row>
    <row r="9" spans="2:18" ht="15" customHeight="1" x14ac:dyDescent="0.3">
      <c r="B9" s="278" t="s">
        <v>973</v>
      </c>
      <c r="C9" s="278" t="s">
        <v>546</v>
      </c>
      <c r="D9" s="278"/>
      <c r="E9" s="278"/>
      <c r="F9" s="278"/>
      <c r="G9" s="278"/>
      <c r="H9" s="278"/>
      <c r="I9" s="278"/>
      <c r="J9" s="278"/>
    </row>
    <row r="10" spans="2:18" ht="15" customHeight="1" x14ac:dyDescent="0.3">
      <c r="B10" s="278"/>
      <c r="C10" s="278"/>
      <c r="D10" s="278"/>
      <c r="E10" s="278"/>
      <c r="F10" s="278"/>
      <c r="G10" s="278"/>
      <c r="H10" s="278"/>
      <c r="I10" s="278"/>
      <c r="J10" s="278"/>
    </row>
    <row r="11" spans="2:18" ht="15" customHeight="1" x14ac:dyDescent="0.3">
      <c r="B11" s="278"/>
      <c r="C11" s="278"/>
      <c r="D11" s="278"/>
      <c r="E11" s="278"/>
      <c r="F11" s="278"/>
      <c r="G11" s="278"/>
      <c r="H11" s="278"/>
      <c r="I11" s="278"/>
      <c r="J11" s="278"/>
    </row>
    <row r="12" spans="2:18" ht="15" customHeight="1" x14ac:dyDescent="0.3">
      <c r="B12" s="278"/>
      <c r="C12" s="278"/>
      <c r="D12" s="278"/>
      <c r="E12" s="278"/>
      <c r="F12" s="278"/>
      <c r="G12" s="278"/>
      <c r="H12" s="278"/>
      <c r="I12" s="278"/>
      <c r="J12" s="278"/>
    </row>
  </sheetData>
  <mergeCells count="6">
    <mergeCell ref="B2:C3"/>
    <mergeCell ref="P2:R3"/>
    <mergeCell ref="D2:F3"/>
    <mergeCell ref="G2:I3"/>
    <mergeCell ref="J2:L3"/>
    <mergeCell ref="M2:O3"/>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A6ABF-9EB6-4A1C-93B6-42E8337A1D3C}">
  <sheetPr codeName="Sheet5"/>
  <dimension ref="B1:V342"/>
  <sheetViews>
    <sheetView showGridLines="0" zoomScaleNormal="100" workbookViewId="0">
      <selection activeCell="B29" sqref="B29"/>
    </sheetView>
  </sheetViews>
  <sheetFormatPr defaultColWidth="8.6640625" defaultRowHeight="14.4" outlineLevelRow="1" outlineLevelCol="1" x14ac:dyDescent="0.3"/>
  <cols>
    <col min="1" max="1" width="2.5546875" style="298" customWidth="1"/>
    <col min="2" max="2" width="57.44140625" style="298" customWidth="1"/>
    <col min="3" max="3" width="18.88671875" style="298" customWidth="1"/>
    <col min="4" max="4" width="21.5546875" style="298" customWidth="1"/>
    <col min="5" max="5" width="16.44140625" style="298" customWidth="1"/>
    <col min="6" max="6" width="23.5546875" style="298" customWidth="1"/>
    <col min="7" max="7" width="27.6640625" style="298" customWidth="1"/>
    <col min="8" max="8" width="29.5546875" style="298" customWidth="1"/>
    <col min="9" max="9" width="29.44140625" style="298" customWidth="1"/>
    <col min="10" max="10" width="35.109375" style="298" customWidth="1"/>
    <col min="11" max="11" width="12.109375" style="298" customWidth="1"/>
    <col min="12" max="12" width="48.44140625" style="298" bestFit="1" customWidth="1"/>
    <col min="13" max="13" width="21.44140625" style="298" customWidth="1" outlineLevel="1"/>
    <col min="14" max="14" width="18.33203125" style="298" customWidth="1" outlineLevel="1"/>
    <col min="15" max="15" width="9.109375" style="298" customWidth="1" outlineLevel="1"/>
    <col min="16" max="16" width="12.33203125" style="298" customWidth="1" outlineLevel="1"/>
    <col min="17" max="17" width="15.44140625" style="298" customWidth="1" outlineLevel="1"/>
    <col min="18" max="18" width="17.44140625" style="298" customWidth="1" outlineLevel="1"/>
    <col min="19" max="19" width="11.6640625" style="298" customWidth="1" outlineLevel="1"/>
    <col min="20" max="20" width="20.109375" style="298" customWidth="1" outlineLevel="1"/>
    <col min="21" max="21" width="32.109375" style="298" customWidth="1" outlineLevel="1"/>
    <col min="22" max="22" width="38.6640625" style="298" bestFit="1" customWidth="1"/>
    <col min="23" max="16384" width="8.6640625" style="298"/>
  </cols>
  <sheetData>
    <row r="1" spans="2:22" ht="14.4" customHeight="1" x14ac:dyDescent="0.3">
      <c r="B1" s="521" t="s">
        <v>975</v>
      </c>
      <c r="C1" s="521"/>
      <c r="D1" s="521"/>
      <c r="E1" s="521"/>
      <c r="F1" s="521"/>
      <c r="G1" s="521"/>
      <c r="H1" s="521"/>
      <c r="I1" s="521"/>
    </row>
    <row r="2" spans="2:22" ht="14.4" customHeight="1" x14ac:dyDescent="0.3">
      <c r="B2" s="521"/>
      <c r="C2" s="521"/>
      <c r="D2" s="521"/>
      <c r="E2" s="521"/>
      <c r="F2" s="521"/>
      <c r="G2" s="521"/>
      <c r="H2" s="521"/>
      <c r="I2" s="521"/>
    </row>
    <row r="4" spans="2:22" ht="14.4" customHeight="1" x14ac:dyDescent="0.3"/>
    <row r="5" spans="2:22" ht="14.4" customHeight="1" x14ac:dyDescent="0.3"/>
    <row r="6" spans="2:22" ht="14.4" customHeight="1" thickBot="1" x14ac:dyDescent="0.35">
      <c r="D6" s="394"/>
    </row>
    <row r="7" spans="2:22" ht="37.5" customHeight="1" thickBot="1" x14ac:dyDescent="0.35">
      <c r="B7" s="341" t="s">
        <v>1017</v>
      </c>
      <c r="E7" s="343"/>
      <c r="F7" s="337"/>
      <c r="G7" s="522" t="s">
        <v>984</v>
      </c>
      <c r="H7" s="523"/>
      <c r="I7" s="338">
        <v>1300000</v>
      </c>
    </row>
    <row r="8" spans="2:22" ht="20.100000000000001" customHeight="1" thickBot="1" x14ac:dyDescent="0.35">
      <c r="B8" s="340">
        <f>IF(I12+I17+I22+I35+I40+I46+I49+I51+I53+I55+I57+I59+I61+I63+I68+I70&gt;1, 100%, I12+I17+I22+I35+I40+I46+I49+I51+I53+I55+I57+I59+I61+I63+I68+I70)</f>
        <v>0.44129737536021851</v>
      </c>
      <c r="C8" s="393"/>
      <c r="D8" s="342"/>
      <c r="E8" s="342"/>
      <c r="G8" s="522" t="s">
        <v>992</v>
      </c>
      <c r="H8" s="523"/>
      <c r="I8" s="339">
        <f>1000000*'Consumption Forecasts'!B3</f>
        <v>6548870474.6003227</v>
      </c>
    </row>
    <row r="9" spans="2:22" ht="20.100000000000001" customHeight="1" thickBot="1" x14ac:dyDescent="0.35">
      <c r="C9" s="300"/>
      <c r="G9" s="522" t="s">
        <v>991</v>
      </c>
      <c r="H9" s="523"/>
      <c r="I9" s="339">
        <f>1000000*'Consumption Forecasts'!V3</f>
        <v>5806944850.9235802</v>
      </c>
      <c r="L9" s="299"/>
    </row>
    <row r="10" spans="2:22" ht="23.4" customHeight="1" x14ac:dyDescent="0.3">
      <c r="B10" s="230" t="s">
        <v>1006</v>
      </c>
      <c r="C10" s="230" t="s">
        <v>1007</v>
      </c>
      <c r="D10" s="230" t="s">
        <v>1008</v>
      </c>
      <c r="E10" s="230" t="s">
        <v>1009</v>
      </c>
      <c r="F10" s="230" t="s">
        <v>1010</v>
      </c>
      <c r="G10" s="230" t="s">
        <v>1011</v>
      </c>
      <c r="H10" s="230" t="s">
        <v>1012</v>
      </c>
      <c r="I10" s="230" t="s">
        <v>1013</v>
      </c>
      <c r="L10" s="299" t="s">
        <v>982</v>
      </c>
    </row>
    <row r="11" spans="2:22" s="302" customFormat="1" ht="54.9" customHeight="1" x14ac:dyDescent="0.3">
      <c r="B11" s="351" t="s">
        <v>543</v>
      </c>
      <c r="C11" s="351" t="s">
        <v>1003</v>
      </c>
      <c r="D11" s="351" t="s">
        <v>1004</v>
      </c>
      <c r="E11" s="351" t="s">
        <v>1014</v>
      </c>
      <c r="F11" s="351" t="s">
        <v>1005</v>
      </c>
      <c r="G11" s="351" t="s">
        <v>1019</v>
      </c>
      <c r="H11" s="351" t="s">
        <v>1016</v>
      </c>
      <c r="I11" s="351" t="s">
        <v>1018</v>
      </c>
      <c r="J11" s="301"/>
      <c r="L11" s="351" t="s">
        <v>32</v>
      </c>
      <c r="M11" s="352" t="s">
        <v>415</v>
      </c>
      <c r="N11" s="351" t="s">
        <v>187</v>
      </c>
      <c r="O11" s="351" t="s">
        <v>41</v>
      </c>
      <c r="P11" s="351" t="s">
        <v>303</v>
      </c>
      <c r="Q11" s="351" t="s">
        <v>382</v>
      </c>
      <c r="R11" s="351" t="s">
        <v>383</v>
      </c>
      <c r="S11" s="375" t="s">
        <v>941</v>
      </c>
      <c r="T11" s="351" t="s">
        <v>414</v>
      </c>
      <c r="U11" s="351" t="s">
        <v>508</v>
      </c>
      <c r="V11" s="351" t="s">
        <v>542</v>
      </c>
    </row>
    <row r="12" spans="2:22" x14ac:dyDescent="0.3">
      <c r="B12" s="354" t="s">
        <v>19</v>
      </c>
      <c r="C12" s="363">
        <v>7.0000000000000007E-2</v>
      </c>
      <c r="D12" s="364"/>
      <c r="E12" s="365">
        <f>SUM(E13:E16)</f>
        <v>1</v>
      </c>
      <c r="F12" s="366">
        <v>0.2</v>
      </c>
      <c r="G12" s="367">
        <f>MIN(SUM(G13:G16), C12*$I$8)</f>
        <v>281337408.97861552</v>
      </c>
      <c r="H12" s="365">
        <f>IFERROR(G12/($I$9*V12), "-")</f>
        <v>0.69429368902708188</v>
      </c>
      <c r="I12" s="365">
        <f>IFERROR(H12*V12, 0)</f>
        <v>4.8448438240957202E-2</v>
      </c>
      <c r="J12" s="305"/>
      <c r="L12" s="348" t="str">
        <f>B12</f>
        <v>AC</v>
      </c>
      <c r="M12" s="303"/>
      <c r="N12" s="303"/>
      <c r="O12" s="303"/>
      <c r="P12" s="303"/>
      <c r="Q12" s="303"/>
      <c r="R12" s="303"/>
      <c r="S12" s="303"/>
      <c r="T12" s="303"/>
      <c r="U12" s="303"/>
      <c r="V12" s="304">
        <f>$J$89</f>
        <v>6.9780899649035125E-2</v>
      </c>
    </row>
    <row r="13" spans="2:22" x14ac:dyDescent="0.3">
      <c r="B13" s="328" t="s">
        <v>932</v>
      </c>
      <c r="C13" s="324"/>
      <c r="D13" s="336">
        <f>IFERROR(M13,"-")*12/10.7</f>
        <v>1105.8056505479578</v>
      </c>
      <c r="E13" s="368">
        <v>0.4</v>
      </c>
      <c r="F13" s="353">
        <f>$F$12</f>
        <v>0.2</v>
      </c>
      <c r="G13" s="326">
        <f>IFERROR(MIN(D13*E13*F13*$I$7, $C$12*$I$9), "-")</f>
        <v>115003787.65698762</v>
      </c>
      <c r="H13" s="327">
        <f>IFERROR(G13/($I$9*V13), "-")</f>
        <v>0.28381012064601141</v>
      </c>
      <c r="I13" s="327">
        <f t="shared" ref="I13:I45" si="0">IFERROR(H13*V13, 0)</f>
        <v>1.9804525548179873E-2</v>
      </c>
      <c r="J13" s="307"/>
      <c r="L13" s="349" t="str">
        <f t="shared" ref="L13:L45" si="1">B13</f>
        <v>Upgrade Window Unit from SEER 8.5 to SEER 12</v>
      </c>
      <c r="M13" s="308">
        <f>AVERAGE(N13:U13)</f>
        <v>986.01003840526221</v>
      </c>
      <c r="N13" s="308">
        <f>G135-Q139</f>
        <v>571.13011521578665</v>
      </c>
      <c r="O13" s="309"/>
      <c r="P13" s="309">
        <f>E225</f>
        <v>2261.9</v>
      </c>
      <c r="Q13" s="309"/>
      <c r="R13" s="309"/>
      <c r="S13" s="309"/>
      <c r="T13" s="309"/>
      <c r="U13" s="310">
        <f>AVERAGE(E242:F242)</f>
        <v>125</v>
      </c>
      <c r="V13" s="306">
        <f>$J$89</f>
        <v>6.9780899649035125E-2</v>
      </c>
    </row>
    <row r="14" spans="2:22" ht="15.9" customHeight="1" x14ac:dyDescent="0.3">
      <c r="B14" s="328" t="s">
        <v>390</v>
      </c>
      <c r="C14" s="324"/>
      <c r="D14" s="336">
        <f>IFERROR(M14,"-")</f>
        <v>1165.2633717385954</v>
      </c>
      <c r="E14" s="368">
        <v>0.5</v>
      </c>
      <c r="F14" s="353">
        <f>$F$12</f>
        <v>0.2</v>
      </c>
      <c r="G14" s="326">
        <f>IFERROR(MIN(D14*E14*F14*$I$7, $C$12*$I$9), "-")</f>
        <v>151484238.32601741</v>
      </c>
      <c r="H14" s="327">
        <f t="shared" ref="H14:H43" si="2">IFERROR(G14/($I$9*V14), "-")</f>
        <v>0.37383777379147831</v>
      </c>
      <c r="I14" s="327">
        <f t="shared" si="0"/>
        <v>2.6086736177961842E-2</v>
      </c>
      <c r="J14" s="305"/>
      <c r="L14" s="349" t="str">
        <f t="shared" si="1"/>
        <v>Upgrade Window Unit from SEER 8.5 to Split Unit SEER 18.0</v>
      </c>
      <c r="M14" s="308">
        <f t="shared" ref="M14:M68" si="3">AVERAGE(N14:U14)</f>
        <v>1165.2633717385954</v>
      </c>
      <c r="N14" s="308">
        <f>G135-Q147</f>
        <v>571.13011521578665</v>
      </c>
      <c r="O14" s="309"/>
      <c r="P14" s="309">
        <f>E226</f>
        <v>2374.66</v>
      </c>
      <c r="Q14" s="309"/>
      <c r="R14" s="309"/>
      <c r="S14" s="309"/>
      <c r="T14" s="309"/>
      <c r="U14" s="310">
        <f>AVERAGE(E243:F243)</f>
        <v>550</v>
      </c>
      <c r="V14" s="306">
        <f>$J$89</f>
        <v>6.9780899649035125E-2</v>
      </c>
    </row>
    <row r="15" spans="2:22" x14ac:dyDescent="0.3">
      <c r="B15" s="328" t="s">
        <v>416</v>
      </c>
      <c r="C15" s="324"/>
      <c r="D15" s="336">
        <f t="shared" ref="D15:D45" si="4">IFERROR(M15,"-")</f>
        <v>571.13011521578665</v>
      </c>
      <c r="E15" s="368">
        <v>0.1</v>
      </c>
      <c r="F15" s="353">
        <f>$F$12</f>
        <v>0.2</v>
      </c>
      <c r="G15" s="326">
        <f>IFERROR(MIN(D15*E15*F15*$I$7, $C$12*$I$9), "-")</f>
        <v>14849382.995610455</v>
      </c>
      <c r="H15" s="327">
        <f t="shared" si="2"/>
        <v>3.6645794589592079E-2</v>
      </c>
      <c r="I15" s="327">
        <f>IFERROR(H15*V15, 0)</f>
        <v>2.5571765148154793E-3</v>
      </c>
      <c r="J15" s="305"/>
      <c r="L15" s="349" t="str">
        <f t="shared" si="1"/>
        <v>Upgrade Split Unit from SEER 12.5 to SEER 18.0</v>
      </c>
      <c r="M15" s="308">
        <f t="shared" si="3"/>
        <v>571.13011521578665</v>
      </c>
      <c r="N15" s="308">
        <f>G143-Q147</f>
        <v>571.13011521578665</v>
      </c>
      <c r="O15" s="309"/>
      <c r="P15" s="309"/>
      <c r="Q15" s="309"/>
      <c r="R15" s="309"/>
      <c r="S15" s="309"/>
      <c r="T15" s="309"/>
      <c r="U15" s="310"/>
      <c r="V15" s="306">
        <f>$J$89</f>
        <v>6.9780899649035125E-2</v>
      </c>
    </row>
    <row r="16" spans="2:22" x14ac:dyDescent="0.3">
      <c r="B16" s="328" t="s">
        <v>470</v>
      </c>
      <c r="C16" s="324"/>
      <c r="D16" s="336">
        <f t="shared" si="4"/>
        <v>1227.8885819521179</v>
      </c>
      <c r="E16" s="368">
        <v>0</v>
      </c>
      <c r="F16" s="353">
        <f>$F$12</f>
        <v>0.2</v>
      </c>
      <c r="G16" s="326">
        <f>IFERROR(MIN(D16*E16*F16*$I$7, $C$12*$I$9), "-")</f>
        <v>0</v>
      </c>
      <c r="H16" s="327">
        <f t="shared" si="2"/>
        <v>0</v>
      </c>
      <c r="I16" s="327">
        <f t="shared" si="0"/>
        <v>0</v>
      </c>
      <c r="J16" s="305"/>
      <c r="L16" s="349" t="str">
        <f t="shared" si="1"/>
        <v xml:space="preserve">Upgrade window units to EER 12 units </v>
      </c>
      <c r="M16" s="308">
        <f t="shared" si="3"/>
        <v>1227.8885819521179</v>
      </c>
      <c r="N16" s="308"/>
      <c r="O16" s="309">
        <f>G252</f>
        <v>500</v>
      </c>
      <c r="P16" s="309"/>
      <c r="Q16" s="309">
        <f>F266</f>
        <v>1955.7771639042357</v>
      </c>
      <c r="R16" s="309"/>
      <c r="S16" s="309"/>
      <c r="T16" s="309"/>
      <c r="U16" s="310"/>
      <c r="V16" s="306">
        <f>$J$89</f>
        <v>6.9780899649035125E-2</v>
      </c>
    </row>
    <row r="17" spans="2:22" x14ac:dyDescent="0.3">
      <c r="B17" s="354" t="s">
        <v>20</v>
      </c>
      <c r="C17" s="363">
        <f>V17</f>
        <v>0.12912085603528528</v>
      </c>
      <c r="D17" s="369">
        <f t="shared" si="4"/>
        <v>0</v>
      </c>
      <c r="E17" s="365">
        <f>SUM(E18:E20)</f>
        <v>1</v>
      </c>
      <c r="F17" s="366">
        <v>0.3</v>
      </c>
      <c r="G17" s="367">
        <f>MIN(SUM(G18:G21), C17*I8)</f>
        <v>352329821.28451055</v>
      </c>
      <c r="H17" s="365">
        <f t="shared" si="2"/>
        <v>0.46989984890067699</v>
      </c>
      <c r="I17" s="365">
        <f t="shared" si="0"/>
        <v>6.0673870740906619E-2</v>
      </c>
      <c r="J17" s="305"/>
      <c r="L17" s="348" t="str">
        <f t="shared" si="1"/>
        <v>Lighting</v>
      </c>
      <c r="M17" s="311"/>
      <c r="N17" s="311"/>
      <c r="O17" s="312"/>
      <c r="P17" s="312"/>
      <c r="Q17" s="312"/>
      <c r="R17" s="312"/>
      <c r="S17" s="312"/>
      <c r="T17" s="312"/>
      <c r="U17" s="313"/>
      <c r="V17" s="304">
        <f>$J$90</f>
        <v>0.12912085603528528</v>
      </c>
    </row>
    <row r="18" spans="2:22" x14ac:dyDescent="0.3">
      <c r="B18" s="328" t="s">
        <v>438</v>
      </c>
      <c r="C18" s="324"/>
      <c r="D18" s="336">
        <f t="shared" si="4"/>
        <v>1601.625</v>
      </c>
      <c r="E18" s="368">
        <v>0</v>
      </c>
      <c r="F18" s="353">
        <f>$F$17</f>
        <v>0.3</v>
      </c>
      <c r="G18" s="326">
        <f>IFERROR(MIN(D18*E18*F18*$I$7,$C$17*$I$9), "-")</f>
        <v>0</v>
      </c>
      <c r="H18" s="327">
        <f t="shared" si="2"/>
        <v>0</v>
      </c>
      <c r="I18" s="327">
        <f t="shared" si="0"/>
        <v>0</v>
      </c>
      <c r="J18" s="305"/>
      <c r="L18" s="349" t="str">
        <f>B18</f>
        <v>Entire Building Incandescent to CFL</v>
      </c>
      <c r="M18" s="308">
        <f t="shared" si="3"/>
        <v>1601.625</v>
      </c>
      <c r="N18" s="308">
        <f>$D$206-D207</f>
        <v>1443.25</v>
      </c>
      <c r="O18" s="309"/>
      <c r="P18" s="309"/>
      <c r="Q18" s="309"/>
      <c r="R18" s="309"/>
      <c r="S18" s="309"/>
      <c r="T18" s="309"/>
      <c r="U18" s="310">
        <f>(58-14)*40</f>
        <v>1760</v>
      </c>
      <c r="V18" s="306">
        <f>$J$90</f>
        <v>0.12912085603528528</v>
      </c>
    </row>
    <row r="19" spans="2:22" x14ac:dyDescent="0.3">
      <c r="B19" s="328" t="s">
        <v>439</v>
      </c>
      <c r="C19" s="324"/>
      <c r="D19" s="336">
        <f t="shared" si="4"/>
        <v>1607.0070963308235</v>
      </c>
      <c r="E19" s="368">
        <v>0.5</v>
      </c>
      <c r="F19" s="353">
        <f>$F$17</f>
        <v>0.3</v>
      </c>
      <c r="G19" s="326">
        <f t="shared" ref="G19:G21" si="5">IFERROR(MIN(D19*E19*F19*$I$7,$C$17*$I$9), "-")</f>
        <v>313366383.78451055</v>
      </c>
      <c r="H19" s="327">
        <f t="shared" si="2"/>
        <v>0.41793458144999385</v>
      </c>
      <c r="I19" s="327">
        <f t="shared" si="0"/>
        <v>5.3964070923571868E-2</v>
      </c>
      <c r="J19" s="305"/>
      <c r="L19" s="349" t="str">
        <f t="shared" si="1"/>
        <v>Entire Building Incandescent to LED</v>
      </c>
      <c r="M19" s="308">
        <f t="shared" si="3"/>
        <v>1607.0070963308235</v>
      </c>
      <c r="N19" s="308">
        <f>$D$206-D208</f>
        <v>1662.875</v>
      </c>
      <c r="O19" s="309"/>
      <c r="P19" s="309"/>
      <c r="Q19" s="309">
        <f>F260</f>
        <v>1218.1462889924705</v>
      </c>
      <c r="R19" s="309"/>
      <c r="S19" s="309"/>
      <c r="T19" s="309"/>
      <c r="U19" s="310">
        <f>(58-9.5)*40</f>
        <v>1940</v>
      </c>
      <c r="V19" s="306">
        <f>$J$90</f>
        <v>0.12912085603528528</v>
      </c>
    </row>
    <row r="20" spans="2:22" x14ac:dyDescent="0.3">
      <c r="B20" s="328" t="s">
        <v>440</v>
      </c>
      <c r="C20" s="324"/>
      <c r="D20" s="336">
        <f t="shared" si="4"/>
        <v>199.8125</v>
      </c>
      <c r="E20" s="368">
        <v>0.5</v>
      </c>
      <c r="F20" s="353">
        <f>$F$17</f>
        <v>0.3</v>
      </c>
      <c r="G20" s="326">
        <f t="shared" si="5"/>
        <v>38963437.5</v>
      </c>
      <c r="H20" s="327">
        <f t="shared" si="2"/>
        <v>5.1965267450683104E-2</v>
      </c>
      <c r="I20" s="327">
        <f t="shared" si="0"/>
        <v>6.7097998173347492E-3</v>
      </c>
      <c r="J20" s="305"/>
      <c r="L20" s="349" t="str">
        <f t="shared" si="1"/>
        <v>Entire Building CFL to LED</v>
      </c>
      <c r="M20" s="308">
        <f t="shared" si="3"/>
        <v>199.8125</v>
      </c>
      <c r="N20" s="308">
        <f>$D$207-D208</f>
        <v>219.625</v>
      </c>
      <c r="O20" s="309"/>
      <c r="P20" s="309"/>
      <c r="Q20" s="309"/>
      <c r="R20" s="309"/>
      <c r="S20" s="309"/>
      <c r="T20" s="309"/>
      <c r="U20" s="310">
        <f>(14-9.5)*40</f>
        <v>180</v>
      </c>
      <c r="V20" s="306">
        <f>$J$90</f>
        <v>0.12912085603528528</v>
      </c>
    </row>
    <row r="21" spans="2:22" x14ac:dyDescent="0.3">
      <c r="B21" s="328" t="s">
        <v>476</v>
      </c>
      <c r="C21" s="324"/>
      <c r="D21" s="336">
        <f t="shared" si="4"/>
        <v>172</v>
      </c>
      <c r="E21" s="368"/>
      <c r="F21" s="353">
        <f>$F$17</f>
        <v>0.3</v>
      </c>
      <c r="G21" s="326">
        <f t="shared" si="5"/>
        <v>0</v>
      </c>
      <c r="H21" s="327">
        <f t="shared" si="2"/>
        <v>0</v>
      </c>
      <c r="I21" s="327">
        <f t="shared" si="0"/>
        <v>0</v>
      </c>
      <c r="J21" s="305"/>
      <c r="L21" s="349" t="str">
        <f t="shared" si="1"/>
        <v>5 free LED bulbs</v>
      </c>
      <c r="M21" s="308">
        <f t="shared" si="3"/>
        <v>172</v>
      </c>
      <c r="N21" s="308"/>
      <c r="O21" s="309">
        <f>G253</f>
        <v>172</v>
      </c>
      <c r="P21" s="309"/>
      <c r="Q21" s="309"/>
      <c r="R21" s="309"/>
      <c r="S21" s="309"/>
      <c r="T21" s="309"/>
      <c r="U21" s="310"/>
      <c r="V21" s="306">
        <f>$J$90</f>
        <v>0.12912085603528528</v>
      </c>
    </row>
    <row r="22" spans="2:22" x14ac:dyDescent="0.3">
      <c r="B22" s="354" t="s">
        <v>1060</v>
      </c>
      <c r="C22" s="363">
        <f>V22</f>
        <v>0.33241584195506507</v>
      </c>
      <c r="D22" s="369">
        <f t="shared" si="4"/>
        <v>0</v>
      </c>
      <c r="E22" s="365">
        <f>SUM(E23:E34)</f>
        <v>1</v>
      </c>
      <c r="F22" s="366">
        <v>0.25</v>
      </c>
      <c r="G22" s="367">
        <f>MIN(SUM(G23:G34), C22*I8)</f>
        <v>649030085.7601366</v>
      </c>
      <c r="H22" s="365">
        <f t="shared" si="2"/>
        <v>0.33622919023133341</v>
      </c>
      <c r="I22" s="365">
        <f t="shared" si="0"/>
        <v>0.11176790936061844</v>
      </c>
      <c r="J22" s="305"/>
      <c r="L22" s="348" t="str">
        <f t="shared" si="1"/>
        <v xml:space="preserve">Water Heating </v>
      </c>
      <c r="M22" s="311"/>
      <c r="N22" s="311"/>
      <c r="O22" s="312"/>
      <c r="P22" s="312"/>
      <c r="Q22" s="312"/>
      <c r="R22" s="312"/>
      <c r="S22" s="312"/>
      <c r="T22" s="312"/>
      <c r="U22" s="313"/>
      <c r="V22" s="304">
        <f>$J$92</f>
        <v>0.33241584195506507</v>
      </c>
    </row>
    <row r="23" spans="2:22" x14ac:dyDescent="0.3">
      <c r="B23" s="328" t="s">
        <v>421</v>
      </c>
      <c r="C23" s="324"/>
      <c r="D23" s="336">
        <f t="shared" si="4"/>
        <v>654.47674186633344</v>
      </c>
      <c r="E23" s="368">
        <v>0</v>
      </c>
      <c r="F23" s="353">
        <f t="shared" ref="F23:F34" si="6">$F$22</f>
        <v>0.25</v>
      </c>
      <c r="G23" s="326">
        <f>IFERROR(MIN(D23*E23*F23*$I$7, $C$22*$I$9), "-")</f>
        <v>0</v>
      </c>
      <c r="H23" s="327">
        <f t="shared" si="2"/>
        <v>0</v>
      </c>
      <c r="I23" s="327">
        <f t="shared" si="0"/>
        <v>0</v>
      </c>
      <c r="J23" s="305"/>
      <c r="L23" s="349" t="str">
        <f t="shared" si="1"/>
        <v>Standard Electric to New Standard Electric</v>
      </c>
      <c r="M23" s="308">
        <f t="shared" si="3"/>
        <v>654.47674186633344</v>
      </c>
      <c r="N23" s="308">
        <f>G149-Q155</f>
        <v>1177.1166666666668</v>
      </c>
      <c r="O23" s="309"/>
      <c r="P23" s="309">
        <f>E227</f>
        <v>131.83681706600009</v>
      </c>
      <c r="Q23" s="309"/>
      <c r="R23" s="309"/>
      <c r="S23" s="309"/>
      <c r="T23" s="309"/>
      <c r="U23" s="310"/>
      <c r="V23" s="306">
        <f t="shared" ref="V23:V34" si="7">$J$92</f>
        <v>0.33241584195506507</v>
      </c>
    </row>
    <row r="24" spans="2:22" x14ac:dyDescent="0.3">
      <c r="B24" s="328" t="s">
        <v>1064</v>
      </c>
      <c r="C24" s="324"/>
      <c r="D24" s="336">
        <f t="shared" si="4"/>
        <v>1997.0156484927279</v>
      </c>
      <c r="E24" s="368">
        <v>1</v>
      </c>
      <c r="F24" s="353">
        <f t="shared" si="6"/>
        <v>0.25</v>
      </c>
      <c r="G24" s="326">
        <f t="shared" ref="G24:G34" si="8">IFERROR(MIN(D24*E24*F24*$I$7, $C$22*$I$9), "-")</f>
        <v>649030085.7601366</v>
      </c>
      <c r="H24" s="327">
        <f t="shared" si="2"/>
        <v>0.33622919023133341</v>
      </c>
      <c r="I24" s="327">
        <f t="shared" si="0"/>
        <v>0.11176790936061844</v>
      </c>
      <c r="J24" s="305"/>
      <c r="L24" s="349" t="str">
        <f t="shared" si="1"/>
        <v>Standard Electric to Solar Water Heater</v>
      </c>
      <c r="M24" s="308">
        <f t="shared" si="3"/>
        <v>1997.0156484927279</v>
      </c>
      <c r="N24" s="308">
        <f>G149-Q158</f>
        <v>2219.702010543092</v>
      </c>
      <c r="O24" s="309"/>
      <c r="P24" s="309">
        <f>E229</f>
        <v>1367.14058342782</v>
      </c>
      <c r="Q24" s="309"/>
      <c r="R24" s="309">
        <f>F312</f>
        <v>2126.2199999999998</v>
      </c>
      <c r="S24" s="309"/>
      <c r="T24" s="309"/>
      <c r="U24" s="310">
        <f>AVERAGE(E239:F239)</f>
        <v>2275</v>
      </c>
      <c r="V24" s="306">
        <f t="shared" si="7"/>
        <v>0.33241584195506507</v>
      </c>
    </row>
    <row r="25" spans="2:22" x14ac:dyDescent="0.3">
      <c r="B25" s="328" t="s">
        <v>418</v>
      </c>
      <c r="C25" s="324"/>
      <c r="D25" s="336">
        <f t="shared" si="4"/>
        <v>203.41254509317992</v>
      </c>
      <c r="E25" s="368">
        <v>0</v>
      </c>
      <c r="F25" s="353">
        <f t="shared" si="6"/>
        <v>0.25</v>
      </c>
      <c r="G25" s="326">
        <f t="shared" si="8"/>
        <v>0</v>
      </c>
      <c r="H25" s="327">
        <f t="shared" si="2"/>
        <v>0</v>
      </c>
      <c r="I25" s="327">
        <f t="shared" si="0"/>
        <v>0</v>
      </c>
      <c r="J25" s="305"/>
      <c r="L25" s="349" t="str">
        <f t="shared" si="1"/>
        <v>Standard Electric to Tankless</v>
      </c>
      <c r="M25" s="391">
        <f>P25</f>
        <v>203.41254509317992</v>
      </c>
      <c r="N25" s="392">
        <f>G149-Q161</f>
        <v>-1663.7363636363634</v>
      </c>
      <c r="O25" s="309"/>
      <c r="P25" s="309">
        <f>E228</f>
        <v>203.41254509317992</v>
      </c>
      <c r="Q25" s="309"/>
      <c r="R25" s="309"/>
      <c r="S25" s="309"/>
      <c r="T25" s="309"/>
      <c r="U25" s="310"/>
      <c r="V25" s="306">
        <f t="shared" si="7"/>
        <v>0.33241584195506507</v>
      </c>
    </row>
    <row r="26" spans="2:22" x14ac:dyDescent="0.3">
      <c r="B26" s="328" t="s">
        <v>419</v>
      </c>
      <c r="C26" s="324"/>
      <c r="D26" s="336">
        <f t="shared" si="4"/>
        <v>1776.7406486705547</v>
      </c>
      <c r="E26" s="368">
        <v>0</v>
      </c>
      <c r="F26" s="353">
        <f t="shared" si="6"/>
        <v>0.25</v>
      </c>
      <c r="G26" s="326">
        <f t="shared" si="8"/>
        <v>0</v>
      </c>
      <c r="H26" s="327">
        <f t="shared" si="2"/>
        <v>0</v>
      </c>
      <c r="I26" s="327">
        <f t="shared" si="0"/>
        <v>0</v>
      </c>
      <c r="J26" s="305"/>
      <c r="L26" s="349" t="str">
        <f t="shared" si="1"/>
        <v>Standard Electric to Heat Pump</v>
      </c>
      <c r="M26" s="308">
        <f t="shared" si="3"/>
        <v>1776.7406486705547</v>
      </c>
      <c r="N26" s="308">
        <f>G149-Q164</f>
        <v>1373.0525070491603</v>
      </c>
      <c r="O26" s="309"/>
      <c r="P26" s="309"/>
      <c r="Q26" s="309">
        <f>F259</f>
        <v>1832.1694389625036</v>
      </c>
      <c r="R26" s="309"/>
      <c r="S26" s="309"/>
      <c r="T26" s="309"/>
      <c r="U26" s="310">
        <f>AVERAGE(E240:F240)</f>
        <v>2125</v>
      </c>
      <c r="V26" s="306">
        <f t="shared" si="7"/>
        <v>0.33241584195506507</v>
      </c>
    </row>
    <row r="27" spans="2:22" x14ac:dyDescent="0.3">
      <c r="B27" s="328" t="s">
        <v>420</v>
      </c>
      <c r="C27" s="324"/>
      <c r="D27" s="336">
        <f t="shared" si="4"/>
        <v>309.56666666666661</v>
      </c>
      <c r="E27" s="368">
        <v>0</v>
      </c>
      <c r="F27" s="353">
        <f t="shared" si="6"/>
        <v>0.25</v>
      </c>
      <c r="G27" s="326">
        <f t="shared" si="8"/>
        <v>0</v>
      </c>
      <c r="H27" s="327">
        <f t="shared" si="2"/>
        <v>0</v>
      </c>
      <c r="I27" s="327">
        <f t="shared" si="0"/>
        <v>0</v>
      </c>
      <c r="J27" s="305"/>
      <c r="L27" s="349" t="str">
        <f t="shared" si="1"/>
        <v>Standard Electric to High Efficiency</v>
      </c>
      <c r="M27" s="308">
        <f t="shared" si="3"/>
        <v>309.56666666666661</v>
      </c>
      <c r="N27" s="308">
        <f>G149-Q167</f>
        <v>309.56666666666661</v>
      </c>
      <c r="O27" s="309"/>
      <c r="P27" s="309"/>
      <c r="Q27" s="309"/>
      <c r="R27" s="309"/>
      <c r="S27" s="309"/>
      <c r="T27" s="309"/>
      <c r="U27" s="310"/>
      <c r="V27" s="306">
        <f t="shared" si="7"/>
        <v>0.33241584195506507</v>
      </c>
    </row>
    <row r="28" spans="2:22" x14ac:dyDescent="0.3">
      <c r="B28" s="328" t="s">
        <v>1075</v>
      </c>
      <c r="C28" s="324"/>
      <c r="D28" s="336">
        <f t="shared" si="4"/>
        <v>854.99817451624676</v>
      </c>
      <c r="E28" s="368">
        <v>0</v>
      </c>
      <c r="F28" s="353">
        <f t="shared" si="6"/>
        <v>0.25</v>
      </c>
      <c r="G28" s="326">
        <f>IFERROR(MIN(D28*E28*F28*$I$7, $C$22*$I$9), "-")</f>
        <v>0</v>
      </c>
      <c r="H28" s="327">
        <f t="shared" si="2"/>
        <v>0</v>
      </c>
      <c r="I28" s="327">
        <f t="shared" si="0"/>
        <v>0</v>
      </c>
      <c r="J28" s="305"/>
      <c r="L28" s="349" t="str">
        <f t="shared" si="1"/>
        <v>Upgrade to New Tankless from Existing Tankless</v>
      </c>
      <c r="M28" s="308">
        <f t="shared" si="3"/>
        <v>854.99817451624676</v>
      </c>
      <c r="N28" s="308">
        <f>G155-Q161</f>
        <v>854.99817451624676</v>
      </c>
      <c r="O28" s="309"/>
      <c r="P28" s="309"/>
      <c r="Q28" s="309"/>
      <c r="R28" s="309"/>
      <c r="S28" s="309"/>
      <c r="T28" s="309"/>
      <c r="U28" s="310"/>
      <c r="V28" s="306">
        <f t="shared" si="7"/>
        <v>0.33241584195506507</v>
      </c>
    </row>
    <row r="29" spans="2:22" x14ac:dyDescent="0.3">
      <c r="B29" s="328" t="s">
        <v>1065</v>
      </c>
      <c r="C29" s="324"/>
      <c r="D29" s="336">
        <f t="shared" si="4"/>
        <v>2951.0822935151709</v>
      </c>
      <c r="E29" s="368">
        <v>0</v>
      </c>
      <c r="F29" s="353">
        <f t="shared" si="6"/>
        <v>0.25</v>
      </c>
      <c r="G29" s="326">
        <f t="shared" si="8"/>
        <v>0</v>
      </c>
      <c r="H29" s="327">
        <f t="shared" si="2"/>
        <v>0</v>
      </c>
      <c r="I29" s="327">
        <f t="shared" si="0"/>
        <v>0</v>
      </c>
      <c r="J29" s="305"/>
      <c r="L29" s="349" t="str">
        <f t="shared" si="1"/>
        <v>Tankless to Solar Water</v>
      </c>
      <c r="M29" s="308">
        <f t="shared" si="3"/>
        <v>2951.0822935151709</v>
      </c>
      <c r="N29" s="308">
        <f>G155-Q158</f>
        <v>4738.4365486957022</v>
      </c>
      <c r="O29" s="309"/>
      <c r="P29" s="309">
        <f>E231</f>
        <v>1163.7280383346401</v>
      </c>
      <c r="Q29" s="309"/>
      <c r="R29" s="309"/>
      <c r="S29" s="309"/>
      <c r="T29" s="309"/>
      <c r="U29" s="310"/>
      <c r="V29" s="306">
        <f t="shared" si="7"/>
        <v>0.33241584195506507</v>
      </c>
    </row>
    <row r="30" spans="2:22" x14ac:dyDescent="0.3">
      <c r="B30" s="328" t="s">
        <v>422</v>
      </c>
      <c r="C30" s="324"/>
      <c r="D30" s="336">
        <f t="shared" si="4"/>
        <v>3891.7870452017705</v>
      </c>
      <c r="E30" s="368">
        <v>0</v>
      </c>
      <c r="F30" s="353">
        <f t="shared" si="6"/>
        <v>0.25</v>
      </c>
      <c r="G30" s="326">
        <f t="shared" si="8"/>
        <v>0</v>
      </c>
      <c r="H30" s="327">
        <f t="shared" si="2"/>
        <v>0</v>
      </c>
      <c r="I30" s="327">
        <f t="shared" si="0"/>
        <v>0</v>
      </c>
      <c r="J30" s="305"/>
      <c r="L30" s="349" t="str">
        <f t="shared" si="1"/>
        <v>Tankless to Heat Pump</v>
      </c>
      <c r="M30" s="308">
        <f t="shared" si="3"/>
        <v>3891.7870452017705</v>
      </c>
      <c r="N30" s="308">
        <f>G155-Q164</f>
        <v>3891.7870452017705</v>
      </c>
      <c r="O30" s="309"/>
      <c r="P30" s="309"/>
      <c r="Q30" s="309"/>
      <c r="R30" s="309"/>
      <c r="S30" s="309"/>
      <c r="T30" s="309"/>
      <c r="U30" s="310"/>
      <c r="V30" s="306">
        <f t="shared" si="7"/>
        <v>0.33241584195506507</v>
      </c>
    </row>
    <row r="31" spans="2:22" x14ac:dyDescent="0.3">
      <c r="B31" s="328" t="s">
        <v>423</v>
      </c>
      <c r="C31" s="324"/>
      <c r="D31" s="336">
        <f t="shared" si="4"/>
        <v>2828.3012048192768</v>
      </c>
      <c r="E31" s="368">
        <v>0</v>
      </c>
      <c r="F31" s="353">
        <f t="shared" si="6"/>
        <v>0.25</v>
      </c>
      <c r="G31" s="326">
        <f t="shared" si="8"/>
        <v>0</v>
      </c>
      <c r="H31" s="327">
        <f t="shared" si="2"/>
        <v>0</v>
      </c>
      <c r="I31" s="327">
        <f t="shared" si="0"/>
        <v>0</v>
      </c>
      <c r="J31" s="305"/>
      <c r="L31" s="349" t="str">
        <f t="shared" si="1"/>
        <v xml:space="preserve">Tankless to High Efficiency Electric Resistance </v>
      </c>
      <c r="M31" s="308">
        <f t="shared" si="3"/>
        <v>2828.3012048192768</v>
      </c>
      <c r="N31" s="308">
        <f>G155-Q167</f>
        <v>2828.3012048192768</v>
      </c>
      <c r="O31" s="309"/>
      <c r="P31" s="309"/>
      <c r="Q31" s="309"/>
      <c r="R31" s="309"/>
      <c r="S31" s="309"/>
      <c r="T31" s="309"/>
      <c r="U31" s="310"/>
      <c r="V31" s="306">
        <f t="shared" si="7"/>
        <v>0.33241584195506507</v>
      </c>
    </row>
    <row r="32" spans="2:22" x14ac:dyDescent="0.3">
      <c r="B32" s="328" t="s">
        <v>1061</v>
      </c>
      <c r="C32" s="324"/>
      <c r="D32" s="336">
        <f t="shared" si="4"/>
        <v>528.08120632585496</v>
      </c>
      <c r="E32" s="368">
        <v>0</v>
      </c>
      <c r="F32" s="353">
        <f t="shared" si="6"/>
        <v>0.25</v>
      </c>
      <c r="G32" s="326">
        <f t="shared" si="8"/>
        <v>0</v>
      </c>
      <c r="H32" s="327">
        <f t="shared" si="2"/>
        <v>0</v>
      </c>
      <c r="I32" s="327">
        <f t="shared" si="0"/>
        <v>0</v>
      </c>
      <c r="J32" s="305"/>
      <c r="L32" s="349" t="str">
        <f t="shared" si="1"/>
        <v>Solar Water Heater to new Solar Water Heater</v>
      </c>
      <c r="M32" s="308">
        <f t="shared" si="3"/>
        <v>528.08120632585496</v>
      </c>
      <c r="N32" s="308">
        <f>G152-Q158</f>
        <v>528.08120632585496</v>
      </c>
      <c r="O32" s="309"/>
      <c r="P32" s="309"/>
      <c r="Q32" s="309"/>
      <c r="R32" s="309"/>
      <c r="S32" s="309"/>
      <c r="T32" s="309"/>
      <c r="U32" s="310"/>
      <c r="V32" s="306">
        <f t="shared" si="7"/>
        <v>0.33241584195506507</v>
      </c>
    </row>
    <row r="33" spans="2:22" x14ac:dyDescent="0.3">
      <c r="B33" s="328" t="s">
        <v>1062</v>
      </c>
      <c r="C33" s="324"/>
      <c r="D33" s="336">
        <f t="shared" si="4"/>
        <v>-318.56829716807647</v>
      </c>
      <c r="E33" s="368">
        <v>0</v>
      </c>
      <c r="F33" s="353">
        <f t="shared" si="6"/>
        <v>0.25</v>
      </c>
      <c r="G33" s="326">
        <f t="shared" si="8"/>
        <v>0</v>
      </c>
      <c r="H33" s="327">
        <f t="shared" si="2"/>
        <v>0</v>
      </c>
      <c r="I33" s="327">
        <f t="shared" si="0"/>
        <v>0</v>
      </c>
      <c r="J33" s="305"/>
      <c r="L33" s="349" t="str">
        <f t="shared" si="1"/>
        <v>Solar Water Heater to Heat Pump</v>
      </c>
      <c r="M33" s="392">
        <f t="shared" si="3"/>
        <v>-318.56829716807647</v>
      </c>
      <c r="N33" s="392">
        <f>G152-Q164</f>
        <v>-318.56829716807647</v>
      </c>
      <c r="O33" s="309"/>
      <c r="P33" s="309"/>
      <c r="Q33" s="309"/>
      <c r="R33" s="309"/>
      <c r="S33" s="309"/>
      <c r="T33" s="309"/>
      <c r="U33" s="310"/>
      <c r="V33" s="306">
        <f t="shared" si="7"/>
        <v>0.33241584195506507</v>
      </c>
    </row>
    <row r="34" spans="2:22" ht="28.8" x14ac:dyDescent="0.3">
      <c r="B34" s="328" t="s">
        <v>1063</v>
      </c>
      <c r="C34" s="324"/>
      <c r="D34" s="336">
        <f t="shared" si="4"/>
        <v>2462</v>
      </c>
      <c r="E34" s="368">
        <v>0</v>
      </c>
      <c r="F34" s="353">
        <f t="shared" si="6"/>
        <v>0.25</v>
      </c>
      <c r="G34" s="326">
        <f t="shared" si="8"/>
        <v>0</v>
      </c>
      <c r="H34" s="327">
        <f t="shared" si="2"/>
        <v>0</v>
      </c>
      <c r="I34" s="327">
        <f t="shared" si="0"/>
        <v>0</v>
      </c>
      <c r="J34" s="305"/>
      <c r="L34" s="349" t="str">
        <f t="shared" si="1"/>
        <v>Solar Water Heater to High Efficiency Electric Water Heater</v>
      </c>
      <c r="M34" s="308">
        <f t="shared" si="3"/>
        <v>2462</v>
      </c>
      <c r="N34" s="308">
        <f>Q167</f>
        <v>2462</v>
      </c>
      <c r="O34" s="309"/>
      <c r="P34" s="309"/>
      <c r="Q34" s="309"/>
      <c r="R34" s="309"/>
      <c r="S34" s="309"/>
      <c r="T34" s="309"/>
      <c r="U34" s="310"/>
      <c r="V34" s="306">
        <f t="shared" si="7"/>
        <v>0.33241584195506507</v>
      </c>
    </row>
    <row r="35" spans="2:22" x14ac:dyDescent="0.3">
      <c r="B35" s="354" t="s">
        <v>168</v>
      </c>
      <c r="C35" s="363">
        <f>V35</f>
        <v>0.1876987615285341</v>
      </c>
      <c r="D35" s="369">
        <f t="shared" si="4"/>
        <v>0</v>
      </c>
      <c r="E35" s="365">
        <f>SUM(E36:E39)</f>
        <v>1</v>
      </c>
      <c r="F35" s="366">
        <v>0.3</v>
      </c>
      <c r="G35" s="367">
        <f>MIN(SUM(G36:G39), C35*I8)</f>
        <v>319145580</v>
      </c>
      <c r="H35" s="365">
        <f t="shared" si="2"/>
        <v>0.29280583393448806</v>
      </c>
      <c r="I35" s="370">
        <f t="shared" si="0"/>
        <v>5.495929239783303E-2</v>
      </c>
      <c r="J35" s="305"/>
      <c r="L35" s="348" t="str">
        <f t="shared" si="1"/>
        <v>Fans</v>
      </c>
      <c r="M35" s="311"/>
      <c r="N35" s="311"/>
      <c r="O35" s="312"/>
      <c r="P35" s="312"/>
      <c r="Q35" s="312"/>
      <c r="R35" s="312"/>
      <c r="S35" s="312"/>
      <c r="T35" s="312"/>
      <c r="U35" s="313"/>
      <c r="V35" s="304">
        <f>$J$109+$J$93</f>
        <v>0.1876987615285341</v>
      </c>
    </row>
    <row r="36" spans="2:22" x14ac:dyDescent="0.3">
      <c r="B36" s="328" t="s">
        <v>424</v>
      </c>
      <c r="C36" s="324"/>
      <c r="D36" s="336">
        <f t="shared" si="4"/>
        <v>719.41499999999996</v>
      </c>
      <c r="E36" s="368">
        <v>0.7</v>
      </c>
      <c r="F36" s="353">
        <f>$F$35</f>
        <v>0.3</v>
      </c>
      <c r="G36" s="326">
        <f>IFERROR(MIN($C$35*$I$9,D36*E36*F36*$I$7), "-")</f>
        <v>196400295</v>
      </c>
      <c r="H36" s="327">
        <f t="shared" si="2"/>
        <v>0.18019097166394868</v>
      </c>
      <c r="I36" s="371">
        <f t="shared" si="0"/>
        <v>3.3821622219946348E-2</v>
      </c>
      <c r="J36" s="305"/>
      <c r="L36" s="349" t="str">
        <f>B36</f>
        <v>Upgrade to more efficient standing fans</v>
      </c>
      <c r="M36" s="308">
        <f t="shared" si="3"/>
        <v>719.41499999999996</v>
      </c>
      <c r="N36" s="308">
        <f>G188*G187-Q196*Q195</f>
        <v>719.41499999999996</v>
      </c>
      <c r="O36" s="309"/>
      <c r="P36" s="309"/>
      <c r="Q36" s="309"/>
      <c r="R36" s="309"/>
      <c r="S36" s="309"/>
      <c r="T36" s="309"/>
      <c r="U36" s="310"/>
      <c r="V36" s="306">
        <f>$J$109+$J$93</f>
        <v>0.1876987615285341</v>
      </c>
    </row>
    <row r="37" spans="2:22" x14ac:dyDescent="0.3">
      <c r="B37" s="328" t="s">
        <v>425</v>
      </c>
      <c r="C37" s="324"/>
      <c r="D37" s="336">
        <f t="shared" si="4"/>
        <v>567.625</v>
      </c>
      <c r="E37" s="368">
        <v>0.15</v>
      </c>
      <c r="F37" s="353">
        <f>$F$35</f>
        <v>0.3</v>
      </c>
      <c r="G37" s="326">
        <f>IFERROR(MIN($C$35*$I$9,D37*E37*F37*$I$7), "-")</f>
        <v>33206062.5</v>
      </c>
      <c r="H37" s="327">
        <f t="shared" si="2"/>
        <v>3.0465497350748934E-2</v>
      </c>
      <c r="I37" s="371">
        <f t="shared" si="0"/>
        <v>5.7183361220864114E-3</v>
      </c>
      <c r="J37" s="305"/>
      <c r="L37" s="349" t="str">
        <f>B37</f>
        <v>Upgrade to more efficient ceiling fans</v>
      </c>
      <c r="M37" s="308">
        <f t="shared" si="3"/>
        <v>567.625</v>
      </c>
      <c r="N37" s="308">
        <f>G190*G189-Q198*Q197</f>
        <v>567.625</v>
      </c>
      <c r="O37" s="309"/>
      <c r="P37" s="309"/>
      <c r="Q37" s="309"/>
      <c r="R37" s="309"/>
      <c r="S37" s="309"/>
      <c r="T37" s="309"/>
      <c r="U37" s="310"/>
      <c r="V37" s="306">
        <f>$J$109+$J$93</f>
        <v>0.1876987615285341</v>
      </c>
    </row>
    <row r="38" spans="2:22" x14ac:dyDescent="0.3">
      <c r="B38" s="328" t="s">
        <v>426</v>
      </c>
      <c r="C38" s="324"/>
      <c r="D38" s="336">
        <f t="shared" si="4"/>
        <v>1530.585</v>
      </c>
      <c r="E38" s="368">
        <v>0.15</v>
      </c>
      <c r="F38" s="353">
        <f>$F$35</f>
        <v>0.3</v>
      </c>
      <c r="G38" s="326">
        <f>IFERROR(MIN($C$35*$I$9,D38*E38*F38*$I$7), "-")</f>
        <v>89539222.499999985</v>
      </c>
      <c r="H38" s="327">
        <f t="shared" si="2"/>
        <v>8.2149364919790441E-2</v>
      </c>
      <c r="I38" s="371">
        <f t="shared" si="0"/>
        <v>1.541933405580027E-2</v>
      </c>
      <c r="J38" s="305"/>
      <c r="L38" s="349" t="str">
        <f>B38</f>
        <v>Upgrade standing fans to ceiling fans</v>
      </c>
      <c r="M38" s="308">
        <f t="shared" si="3"/>
        <v>1530.585</v>
      </c>
      <c r="N38" s="308">
        <f>G188*G187-Q198*Q197</f>
        <v>1530.585</v>
      </c>
      <c r="O38" s="309"/>
      <c r="P38" s="309"/>
      <c r="Q38" s="309"/>
      <c r="R38" s="309"/>
      <c r="S38" s="309"/>
      <c r="T38" s="309"/>
      <c r="U38" s="310"/>
      <c r="V38" s="306">
        <f>$J$109+$J$93</f>
        <v>0.1876987615285341</v>
      </c>
    </row>
    <row r="39" spans="2:22" x14ac:dyDescent="0.3">
      <c r="B39" s="328" t="s">
        <v>933</v>
      </c>
      <c r="C39" s="324"/>
      <c r="D39" s="336" t="str">
        <f t="shared" si="4"/>
        <v>-</v>
      </c>
      <c r="E39" s="368">
        <v>0</v>
      </c>
      <c r="F39" s="353">
        <f>$F$35</f>
        <v>0.3</v>
      </c>
      <c r="G39" s="326" t="str">
        <f>IFERROR(MIN($C$35*$I$9,D39*E39*F39*$I$7), "-")</f>
        <v>-</v>
      </c>
      <c r="H39" s="327" t="str">
        <f t="shared" si="2"/>
        <v>-</v>
      </c>
      <c r="I39" s="327">
        <f t="shared" si="0"/>
        <v>0</v>
      </c>
      <c r="J39" s="305"/>
      <c r="L39" s="349" t="str">
        <f t="shared" si="1"/>
        <v>Upgrade to interior wall fans</v>
      </c>
      <c r="M39" s="308" t="e">
        <f t="shared" si="3"/>
        <v>#DIV/0!</v>
      </c>
      <c r="N39" s="308"/>
      <c r="O39" s="309"/>
      <c r="P39" s="309"/>
      <c r="Q39" s="309"/>
      <c r="R39" s="309"/>
      <c r="S39" s="309"/>
      <c r="T39" s="309"/>
      <c r="U39" s="310"/>
      <c r="V39" s="306">
        <f>$J$109+$J$93</f>
        <v>0.1876987615285341</v>
      </c>
    </row>
    <row r="40" spans="2:22" x14ac:dyDescent="0.3">
      <c r="B40" s="354" t="s">
        <v>448</v>
      </c>
      <c r="C40" s="363">
        <f>V40</f>
        <v>0</v>
      </c>
      <c r="D40" s="369">
        <f t="shared" si="4"/>
        <v>0</v>
      </c>
      <c r="E40" s="372">
        <f>SUM(E41:E43)</f>
        <v>1</v>
      </c>
      <c r="F40" s="366">
        <v>0.2</v>
      </c>
      <c r="G40" s="367">
        <f>SUM(G41:G45)</f>
        <v>142254833.02021784</v>
      </c>
      <c r="H40" s="365" t="str">
        <f t="shared" si="2"/>
        <v>-</v>
      </c>
      <c r="I40" s="365">
        <f t="shared" si="0"/>
        <v>0</v>
      </c>
      <c r="J40" s="305"/>
      <c r="L40" s="348" t="str">
        <f t="shared" si="1"/>
        <v>Envelope</v>
      </c>
      <c r="M40" s="311"/>
      <c r="N40" s="311"/>
      <c r="O40" s="312"/>
      <c r="P40" s="312"/>
      <c r="Q40" s="312"/>
      <c r="R40" s="312"/>
      <c r="S40" s="312"/>
      <c r="T40" s="312"/>
      <c r="U40" s="313"/>
      <c r="V40" s="314"/>
    </row>
    <row r="41" spans="2:22" x14ac:dyDescent="0.3">
      <c r="B41" s="328" t="s">
        <v>447</v>
      </c>
      <c r="C41" s="324"/>
      <c r="D41" s="336">
        <f t="shared" si="4"/>
        <v>739.71911761006777</v>
      </c>
      <c r="E41" s="368">
        <v>0.25</v>
      </c>
      <c r="F41" s="353">
        <f t="shared" ref="F41:F45" si="9">$F$40</f>
        <v>0.2</v>
      </c>
      <c r="G41" s="326">
        <f>IFERROR(D41*E41*F41*$I$7, "-")</f>
        <v>48081742.644654408</v>
      </c>
      <c r="H41" s="327" t="str">
        <f t="shared" si="2"/>
        <v>-</v>
      </c>
      <c r="I41" s="327">
        <f t="shared" si="0"/>
        <v>0</v>
      </c>
      <c r="J41" s="305"/>
      <c r="L41" s="349" t="str">
        <f t="shared" si="1"/>
        <v>Add Insulation to Roof &amp; Walls</v>
      </c>
      <c r="M41" s="308">
        <f t="shared" si="3"/>
        <v>739.71911761006777</v>
      </c>
      <c r="N41" s="308">
        <f>Q216</f>
        <v>739.71911761006777</v>
      </c>
      <c r="O41" s="309"/>
      <c r="P41" s="309"/>
      <c r="Q41" s="309"/>
      <c r="R41" s="309"/>
      <c r="S41" s="309"/>
      <c r="T41" s="309"/>
      <c r="U41" s="310"/>
      <c r="V41" s="315"/>
    </row>
    <row r="42" spans="2:22" x14ac:dyDescent="0.3">
      <c r="B42" s="328" t="s">
        <v>445</v>
      </c>
      <c r="C42" s="324"/>
      <c r="D42" s="336">
        <f t="shared" si="4"/>
        <v>354.9083875043342</v>
      </c>
      <c r="E42" s="368">
        <v>0.5</v>
      </c>
      <c r="F42" s="353">
        <f t="shared" si="9"/>
        <v>0.2</v>
      </c>
      <c r="G42" s="326">
        <f>IFERROR(D42*E42*F42*$I$7, "-")</f>
        <v>46138090.375563443</v>
      </c>
      <c r="H42" s="327" t="str">
        <f t="shared" si="2"/>
        <v>-</v>
      </c>
      <c r="I42" s="327">
        <f t="shared" si="0"/>
        <v>0</v>
      </c>
      <c r="J42" s="305"/>
      <c r="L42" s="349" t="str">
        <f t="shared" si="1"/>
        <v>Add Reflective Roof</v>
      </c>
      <c r="M42" s="308">
        <f t="shared" si="3"/>
        <v>354.9083875043342</v>
      </c>
      <c r="N42" s="308">
        <f>Q217</f>
        <v>367.81177500866852</v>
      </c>
      <c r="O42" s="309"/>
      <c r="P42" s="309"/>
      <c r="Q42" s="309"/>
      <c r="R42" s="309">
        <f>AVERAGE(F304:F305)</f>
        <v>342.00499999999988</v>
      </c>
      <c r="S42" s="309"/>
      <c r="T42" s="309"/>
      <c r="U42" s="310"/>
      <c r="V42" s="315"/>
    </row>
    <row r="43" spans="2:22" x14ac:dyDescent="0.3">
      <c r="B43" s="328" t="s">
        <v>446</v>
      </c>
      <c r="C43" s="324"/>
      <c r="D43" s="336">
        <f t="shared" si="4"/>
        <v>739</v>
      </c>
      <c r="E43" s="368">
        <v>0.25</v>
      </c>
      <c r="F43" s="353">
        <f t="shared" si="9"/>
        <v>0.2</v>
      </c>
      <c r="G43" s="326">
        <f>IFERROR(D43*E43*F43*$I$7, "-")</f>
        <v>48035000</v>
      </c>
      <c r="H43" s="327" t="str">
        <f t="shared" si="2"/>
        <v>-</v>
      </c>
      <c r="I43" s="327">
        <f t="shared" si="0"/>
        <v>0</v>
      </c>
      <c r="J43" s="305"/>
      <c r="L43" s="349" t="str">
        <f t="shared" si="1"/>
        <v>Add Insulation and Reflective Roof</v>
      </c>
      <c r="M43" s="308">
        <f t="shared" si="3"/>
        <v>739</v>
      </c>
      <c r="N43" s="308">
        <f>Q218</f>
        <v>739</v>
      </c>
      <c r="O43" s="309"/>
      <c r="P43" s="309"/>
      <c r="Q43" s="309"/>
      <c r="R43" s="309"/>
      <c r="S43" s="309"/>
      <c r="T43" s="309"/>
      <c r="U43" s="310"/>
      <c r="V43" s="315"/>
    </row>
    <row r="44" spans="2:22" x14ac:dyDescent="0.3">
      <c r="B44" s="328" t="s">
        <v>499</v>
      </c>
      <c r="C44" s="324"/>
      <c r="D44" s="336">
        <f t="shared" si="4"/>
        <v>791.62639221556879</v>
      </c>
      <c r="E44" s="368"/>
      <c r="F44" s="353">
        <f t="shared" si="9"/>
        <v>0.2</v>
      </c>
      <c r="G44" s="326">
        <f>IFERROR(D44*E44*F44*$I$7, "-")</f>
        <v>0</v>
      </c>
      <c r="H44" s="327" t="str">
        <f t="shared" ref="H44:H45" si="10">IFERROR(G44/($I$9*V44), "-")</f>
        <v>-</v>
      </c>
      <c r="I44" s="327">
        <f t="shared" si="0"/>
        <v>0</v>
      </c>
      <c r="J44" s="305"/>
      <c r="L44" s="349" t="str">
        <f t="shared" si="1"/>
        <v>Add R-38 attic insulation</v>
      </c>
      <c r="M44" s="308">
        <f t="shared" si="3"/>
        <v>791.62639221556879</v>
      </c>
      <c r="N44" s="308"/>
      <c r="O44" s="309"/>
      <c r="P44" s="309"/>
      <c r="Q44" s="309">
        <f>F265</f>
        <v>914.1077844311377</v>
      </c>
      <c r="R44" s="309">
        <f>AVERAGE(F300:F301)</f>
        <v>669.14499999999998</v>
      </c>
      <c r="S44" s="309"/>
      <c r="T44" s="309"/>
      <c r="U44" s="310"/>
      <c r="V44" s="315"/>
    </row>
    <row r="45" spans="2:22" x14ac:dyDescent="0.3">
      <c r="B45" s="328" t="s">
        <v>506</v>
      </c>
      <c r="C45" s="324"/>
      <c r="D45" s="336">
        <f t="shared" si="4"/>
        <v>881.96654275092942</v>
      </c>
      <c r="E45" s="368"/>
      <c r="F45" s="353">
        <f t="shared" si="9"/>
        <v>0.2</v>
      </c>
      <c r="G45" s="326">
        <f>IFERROR(D45*E45*F45*$I$7, "-")</f>
        <v>0</v>
      </c>
      <c r="H45" s="327" t="str">
        <f t="shared" si="10"/>
        <v>-</v>
      </c>
      <c r="I45" s="327">
        <f t="shared" si="0"/>
        <v>0</v>
      </c>
      <c r="J45" s="305"/>
      <c r="L45" s="349" t="str">
        <f t="shared" si="1"/>
        <v>Install low-E storm windows</v>
      </c>
      <c r="M45" s="308">
        <f t="shared" si="3"/>
        <v>881.96654275092942</v>
      </c>
      <c r="N45" s="308"/>
      <c r="O45" s="309"/>
      <c r="P45" s="309"/>
      <c r="Q45" s="309">
        <f>F267</f>
        <v>881.96654275092942</v>
      </c>
      <c r="R45" s="309"/>
      <c r="S45" s="309"/>
      <c r="T45" s="309"/>
      <c r="U45" s="310"/>
      <c r="V45" s="315"/>
    </row>
    <row r="46" spans="2:22" x14ac:dyDescent="0.3">
      <c r="B46" s="354" t="s">
        <v>21</v>
      </c>
      <c r="C46" s="363">
        <f>V47</f>
        <v>9.0753842042672783E-2</v>
      </c>
      <c r="D46" s="369">
        <f>IFERROR(M47,"-")</f>
        <v>0</v>
      </c>
      <c r="E46" s="372">
        <f>E47</f>
        <v>0.9</v>
      </c>
      <c r="F46" s="366">
        <v>0.25</v>
      </c>
      <c r="G46" s="367">
        <f>MIN(G47,C46*I8)</f>
        <v>133503214.49652779</v>
      </c>
      <c r="H46" s="365">
        <f t="shared" ref="H46:H63" si="11">IFERROR(G46/($I$9*V47), "-")</f>
        <v>0.25332555419246849</v>
      </c>
      <c r="I46" s="365">
        <f>IFERROR(H46*V47, 0)</f>
        <v>2.2990267330555831E-2</v>
      </c>
      <c r="J46" s="305"/>
      <c r="L46" s="349" t="e">
        <f>#REF!</f>
        <v>#REF!</v>
      </c>
      <c r="M46" s="308"/>
      <c r="N46" s="308"/>
      <c r="O46" s="309"/>
      <c r="P46" s="309"/>
      <c r="Q46" s="309"/>
      <c r="R46" s="309"/>
      <c r="S46" s="309"/>
      <c r="T46" s="309"/>
      <c r="U46" s="310"/>
      <c r="V46" s="315"/>
    </row>
    <row r="47" spans="2:22" x14ac:dyDescent="0.3">
      <c r="B47" s="328" t="s">
        <v>417</v>
      </c>
      <c r="C47" s="324"/>
      <c r="D47" s="336">
        <f>IFERROR(M48,"-")</f>
        <v>456.42124614197536</v>
      </c>
      <c r="E47" s="368">
        <v>0.9</v>
      </c>
      <c r="F47" s="353">
        <f>F46</f>
        <v>0.25</v>
      </c>
      <c r="G47" s="326">
        <f>IFERROR(D47*E47*F47*$I$7, "-")</f>
        <v>133503214.49652779</v>
      </c>
      <c r="H47" s="327">
        <f t="shared" si="11"/>
        <v>0.25332555419246849</v>
      </c>
      <c r="I47" s="327">
        <f>IFERROR(H47*V48, 0)</f>
        <v>2.2990267330555831E-2</v>
      </c>
      <c r="J47" s="305"/>
      <c r="L47" s="348" t="str">
        <f t="shared" ref="L47:L64" si="12">B46</f>
        <v>Refrigeration</v>
      </c>
      <c r="M47" s="311"/>
      <c r="N47" s="311"/>
      <c r="O47" s="312"/>
      <c r="P47" s="312"/>
      <c r="Q47" s="312"/>
      <c r="R47" s="312"/>
      <c r="S47" s="312"/>
      <c r="T47" s="312"/>
      <c r="U47" s="313"/>
      <c r="V47" s="304">
        <f>$J$91</f>
        <v>9.0753842042672783E-2</v>
      </c>
    </row>
    <row r="48" spans="2:22" x14ac:dyDescent="0.3">
      <c r="B48" s="328" t="s">
        <v>934</v>
      </c>
      <c r="C48" s="324"/>
      <c r="D48" s="336">
        <f>D47+125</f>
        <v>581.42124614197542</v>
      </c>
      <c r="E48" s="368">
        <v>0.1</v>
      </c>
      <c r="F48" s="353">
        <f>F47</f>
        <v>0.25</v>
      </c>
      <c r="G48" s="326">
        <f>IFERROR(D48*E48*F48*$I$7, "-")</f>
        <v>18896190.499614201</v>
      </c>
      <c r="H48" s="327" t="str">
        <f t="shared" si="11"/>
        <v>-</v>
      </c>
      <c r="I48" s="327"/>
      <c r="J48" s="305"/>
      <c r="L48" s="349" t="str">
        <f t="shared" si="12"/>
        <v>Upgrade to Energy Star Unit</v>
      </c>
      <c r="M48" s="308">
        <f t="shared" si="3"/>
        <v>456.42124614197536</v>
      </c>
      <c r="N48" s="308">
        <f>G129-Q131</f>
        <v>273.76373842592591</v>
      </c>
      <c r="O48" s="309"/>
      <c r="P48" s="309">
        <f>AVERAGE(E233:E234)</f>
        <v>895.5</v>
      </c>
      <c r="Q48" s="309"/>
      <c r="R48" s="309"/>
      <c r="S48" s="309"/>
      <c r="T48" s="309"/>
      <c r="U48" s="310">
        <f>AVERAGE(E241:F241)</f>
        <v>200</v>
      </c>
      <c r="V48" s="306">
        <f>$J$91</f>
        <v>9.0753842042672783E-2</v>
      </c>
    </row>
    <row r="49" spans="2:22" x14ac:dyDescent="0.3">
      <c r="B49" s="354" t="s">
        <v>389</v>
      </c>
      <c r="C49" s="363">
        <f>V50</f>
        <v>3.4530126962999809E-3</v>
      </c>
      <c r="D49" s="369">
        <f>IFERROR(M50,"-")</f>
        <v>0</v>
      </c>
      <c r="E49" s="365">
        <f>E50</f>
        <v>1</v>
      </c>
      <c r="F49" s="366">
        <v>0.3</v>
      </c>
      <c r="G49" s="367">
        <f>MIN(G50,C49*I8)</f>
        <v>17197555.555555563</v>
      </c>
      <c r="H49" s="365">
        <f t="shared" si="11"/>
        <v>0.85767123425900105</v>
      </c>
      <c r="I49" s="365">
        <f t="shared" ref="I49:I54" si="13">IFERROR(H49*V50, 0)</f>
        <v>2.9615496611476058E-3</v>
      </c>
      <c r="J49" s="305"/>
      <c r="L49" s="349" t="str">
        <f t="shared" si="12"/>
        <v>Upgrade to 365 kWh/year unit</v>
      </c>
      <c r="M49" s="308"/>
      <c r="N49" s="308"/>
      <c r="O49" s="309"/>
      <c r="P49" s="309"/>
      <c r="Q49" s="309"/>
      <c r="R49" s="309"/>
      <c r="S49" s="309"/>
      <c r="T49" s="309"/>
      <c r="U49" s="310"/>
      <c r="V49" s="306"/>
    </row>
    <row r="50" spans="2:22" x14ac:dyDescent="0.3">
      <c r="B50" s="328" t="s">
        <v>427</v>
      </c>
      <c r="C50" s="324"/>
      <c r="D50" s="336">
        <f>IFERROR(M51,"-")</f>
        <v>44.096296296296316</v>
      </c>
      <c r="E50" s="368">
        <v>1</v>
      </c>
      <c r="F50" s="353">
        <f>F49</f>
        <v>0.3</v>
      </c>
      <c r="G50" s="326">
        <f>IFERROR(D50*E50*F50*$I$7, "-")</f>
        <v>17197555.555555563</v>
      </c>
      <c r="H50" s="327">
        <f t="shared" si="11"/>
        <v>0.85767123425900105</v>
      </c>
      <c r="I50" s="327">
        <f t="shared" si="13"/>
        <v>2.9615496611476058E-3</v>
      </c>
      <c r="J50" s="305"/>
      <c r="L50" s="348" t="str">
        <f t="shared" si="12"/>
        <v>Clothes Washing</v>
      </c>
      <c r="M50" s="311"/>
      <c r="N50" s="311"/>
      <c r="O50" s="312"/>
      <c r="P50" s="312"/>
      <c r="Q50" s="312"/>
      <c r="R50" s="312"/>
      <c r="S50" s="312"/>
      <c r="T50" s="312"/>
      <c r="U50" s="313"/>
      <c r="V50" s="316">
        <f>$J$98</f>
        <v>3.4530126962999809E-3</v>
      </c>
    </row>
    <row r="51" spans="2:22" x14ac:dyDescent="0.3">
      <c r="B51" s="354" t="s">
        <v>1002</v>
      </c>
      <c r="C51" s="363">
        <f>V52</f>
        <v>8.1287538642028506E-3</v>
      </c>
      <c r="D51" s="369">
        <f>IFERROR(M52,"-")</f>
        <v>0</v>
      </c>
      <c r="E51" s="365">
        <f>MF_units</f>
        <v>1</v>
      </c>
      <c r="F51" s="366">
        <v>0.3</v>
      </c>
      <c r="G51" s="367">
        <f>MIN(G52, C51*I8)</f>
        <v>53234156.176571332</v>
      </c>
      <c r="H51" s="365">
        <f t="shared" si="11"/>
        <v>1.1277652264182845</v>
      </c>
      <c r="I51" s="365">
        <f t="shared" si="13"/>
        <v>9.1673259421612332E-3</v>
      </c>
      <c r="J51" s="305"/>
      <c r="L51" s="349" t="str">
        <f t="shared" si="12"/>
        <v>Standard clothes washer to horizontal axis washer</v>
      </c>
      <c r="M51" s="308">
        <f t="shared" si="3"/>
        <v>44.096296296296316</v>
      </c>
      <c r="N51" s="308">
        <f>G176-Q184</f>
        <v>44.096296296296316</v>
      </c>
      <c r="O51" s="309"/>
      <c r="P51" s="309"/>
      <c r="Q51" s="309"/>
      <c r="R51" s="309"/>
      <c r="S51" s="309"/>
      <c r="T51" s="309"/>
      <c r="U51" s="310"/>
      <c r="V51" s="317">
        <f>$J$98</f>
        <v>3.4530126962999809E-3</v>
      </c>
    </row>
    <row r="52" spans="2:22" x14ac:dyDescent="0.3">
      <c r="B52" s="328" t="s">
        <v>428</v>
      </c>
      <c r="C52" s="324"/>
      <c r="D52" s="336">
        <f>IFERROR(M53,"-")</f>
        <v>239.28041666666672</v>
      </c>
      <c r="E52" s="368">
        <v>1</v>
      </c>
      <c r="F52" s="353">
        <f>F51</f>
        <v>0.3</v>
      </c>
      <c r="G52" s="326">
        <f>IFERROR(D52*E52*F52*$I$7, "-")</f>
        <v>93319362.50000003</v>
      </c>
      <c r="H52" s="327">
        <f t="shared" si="11"/>
        <v>1.976970042127582</v>
      </c>
      <c r="I52" s="327">
        <f t="shared" si="13"/>
        <v>1.6070302869357855E-2</v>
      </c>
      <c r="J52" s="305"/>
      <c r="L52" s="348" t="str">
        <f t="shared" si="12"/>
        <v>Clothes Drying</v>
      </c>
      <c r="M52" s="311"/>
      <c r="N52" s="311"/>
      <c r="O52" s="312"/>
      <c r="P52" s="312"/>
      <c r="Q52" s="312"/>
      <c r="R52" s="312"/>
      <c r="S52" s="312"/>
      <c r="T52" s="312"/>
      <c r="U52" s="313"/>
      <c r="V52" s="316">
        <f>$J$99</f>
        <v>8.1287538642028506E-3</v>
      </c>
    </row>
    <row r="53" spans="2:22" x14ac:dyDescent="0.3">
      <c r="B53" s="354" t="s">
        <v>300</v>
      </c>
      <c r="C53" s="363">
        <f>V54</f>
        <v>0.12906024817635889</v>
      </c>
      <c r="D53" s="369">
        <f>IFERROR(M54,"-")</f>
        <v>0</v>
      </c>
      <c r="E53" s="365">
        <f>E54</f>
        <v>1</v>
      </c>
      <c r="F53" s="366">
        <v>0.3</v>
      </c>
      <c r="G53" s="367">
        <f>MIN(G54,C53*I8)</f>
        <v>662584000</v>
      </c>
      <c r="H53" s="365">
        <f t="shared" si="11"/>
        <v>0.88409868980159412</v>
      </c>
      <c r="I53" s="365">
        <f t="shared" si="13"/>
        <v>0.11410199631818747</v>
      </c>
      <c r="J53" s="305"/>
      <c r="L53" s="349" t="str">
        <f t="shared" si="12"/>
        <v>Upgrade to new standard dryer</v>
      </c>
      <c r="M53" s="308">
        <f t="shared" si="3"/>
        <v>239.28041666666672</v>
      </c>
      <c r="N53" s="308">
        <f>G179-Q187</f>
        <v>239.28041666666672</v>
      </c>
      <c r="O53" s="309"/>
      <c r="P53" s="309"/>
      <c r="Q53" s="309"/>
      <c r="R53" s="309"/>
      <c r="S53" s="309"/>
      <c r="T53" s="309"/>
      <c r="U53" s="310"/>
      <c r="V53" s="317">
        <f>$J$99</f>
        <v>8.1287538642028506E-3</v>
      </c>
    </row>
    <row r="54" spans="2:22" x14ac:dyDescent="0.3">
      <c r="B54" s="328" t="s">
        <v>1066</v>
      </c>
      <c r="C54" s="324"/>
      <c r="D54" s="336">
        <f>M55</f>
        <v>1698.9333333333334</v>
      </c>
      <c r="E54" s="368">
        <v>1</v>
      </c>
      <c r="F54" s="353">
        <f>F53</f>
        <v>0.3</v>
      </c>
      <c r="G54" s="326">
        <f>IFERROR(D54*E54*F54*$I$7, "-")</f>
        <v>662584000</v>
      </c>
      <c r="H54" s="327">
        <f t="shared" si="11"/>
        <v>0.88409868980159412</v>
      </c>
      <c r="I54" s="327">
        <f t="shared" si="13"/>
        <v>0.11410199631818747</v>
      </c>
      <c r="J54" s="305"/>
      <c r="L54" s="348" t="str">
        <f t="shared" si="12"/>
        <v>TV</v>
      </c>
      <c r="M54" s="311"/>
      <c r="N54" s="311"/>
      <c r="O54" s="312"/>
      <c r="P54" s="312"/>
      <c r="Q54" s="312"/>
      <c r="R54" s="312"/>
      <c r="S54" s="312"/>
      <c r="T54" s="312"/>
      <c r="U54" s="313"/>
      <c r="V54" s="304">
        <f>$J$108</f>
        <v>0.12906024817635889</v>
      </c>
    </row>
    <row r="55" spans="2:22" x14ac:dyDescent="0.3">
      <c r="B55" s="354" t="s">
        <v>23</v>
      </c>
      <c r="C55" s="363">
        <f>V56</f>
        <v>0</v>
      </c>
      <c r="D55" s="369" t="s">
        <v>385</v>
      </c>
      <c r="E55" s="373" t="s">
        <v>385</v>
      </c>
      <c r="F55" s="366">
        <v>0.2</v>
      </c>
      <c r="G55" s="365">
        <v>0.06</v>
      </c>
      <c r="H55" s="365" t="str">
        <f t="shared" si="11"/>
        <v>-</v>
      </c>
      <c r="I55" s="365">
        <f>G55*F55</f>
        <v>1.2E-2</v>
      </c>
      <c r="J55" s="305"/>
      <c r="L55" s="349" t="str">
        <f t="shared" si="12"/>
        <v>Upgrade to new standard TV</v>
      </c>
      <c r="M55" s="308">
        <f t="shared" si="3"/>
        <v>1698.9333333333334</v>
      </c>
      <c r="N55" s="308">
        <f>G185*G184-Q193*Q192</f>
        <v>1698.9333333333334</v>
      </c>
      <c r="O55" s="309"/>
      <c r="P55" s="309"/>
      <c r="Q55" s="309"/>
      <c r="R55" s="309"/>
      <c r="S55" s="309"/>
      <c r="T55" s="309"/>
      <c r="U55" s="310"/>
      <c r="V55" s="306">
        <f>$J$108</f>
        <v>0.12906024817635889</v>
      </c>
    </row>
    <row r="56" spans="2:22" x14ac:dyDescent="0.3">
      <c r="B56" s="302"/>
      <c r="C56" s="324"/>
      <c r="D56" s="336" t="s">
        <v>385</v>
      </c>
      <c r="E56" s="361" t="s">
        <v>385</v>
      </c>
      <c r="F56" s="362"/>
      <c r="G56" s="326" t="str">
        <f>IFERROR(D56*E56*F56,"-")</f>
        <v>-</v>
      </c>
      <c r="H56" s="327" t="str">
        <f t="shared" si="11"/>
        <v>-</v>
      </c>
      <c r="I56" s="327">
        <f t="shared" ref="I56:I63" si="14">IFERROR(H56*V57, 0)</f>
        <v>0</v>
      </c>
      <c r="J56" s="305"/>
      <c r="L56" s="348" t="str">
        <f t="shared" si="12"/>
        <v>Education/Outreach</v>
      </c>
      <c r="M56" s="311"/>
      <c r="N56" s="311"/>
      <c r="O56" s="312"/>
      <c r="P56" s="312"/>
      <c r="Q56" s="312"/>
      <c r="R56" s="312"/>
      <c r="S56" s="312"/>
      <c r="T56" s="312"/>
      <c r="U56" s="313"/>
      <c r="V56" s="304"/>
    </row>
    <row r="57" spans="2:22" x14ac:dyDescent="0.3">
      <c r="B57" s="354" t="s">
        <v>935</v>
      </c>
      <c r="C57" s="363">
        <f>V58</f>
        <v>0</v>
      </c>
      <c r="D57" s="356" t="s">
        <v>385</v>
      </c>
      <c r="E57" s="374"/>
      <c r="F57" s="366">
        <v>0.1</v>
      </c>
      <c r="G57" s="359" t="str">
        <f>IFERROR(D57*E57*F57,"-")</f>
        <v>-</v>
      </c>
      <c r="H57" s="365" t="str">
        <f t="shared" si="11"/>
        <v>-</v>
      </c>
      <c r="I57" s="365">
        <f t="shared" si="14"/>
        <v>0</v>
      </c>
      <c r="J57" s="305"/>
      <c r="L57" s="350">
        <f t="shared" si="12"/>
        <v>0</v>
      </c>
      <c r="M57" s="318"/>
      <c r="N57" s="318"/>
      <c r="O57" s="319"/>
      <c r="P57" s="319"/>
      <c r="Q57" s="319"/>
      <c r="R57" s="319"/>
      <c r="S57" s="319"/>
      <c r="T57" s="319"/>
      <c r="U57" s="320"/>
      <c r="V57" s="306"/>
    </row>
    <row r="58" spans="2:22" x14ac:dyDescent="0.3">
      <c r="B58" s="302"/>
      <c r="C58" s="324"/>
      <c r="D58" s="336">
        <f>M59</f>
        <v>0</v>
      </c>
      <c r="E58" s="368">
        <v>0</v>
      </c>
      <c r="F58" s="353">
        <f>F57</f>
        <v>0.1</v>
      </c>
      <c r="G58" s="326">
        <f>IFERROR(D58*E58*F58*$I$7, "-")</f>
        <v>0</v>
      </c>
      <c r="H58" s="327" t="str">
        <f t="shared" si="11"/>
        <v>-</v>
      </c>
      <c r="I58" s="327">
        <f t="shared" si="14"/>
        <v>0</v>
      </c>
      <c r="J58" s="305"/>
      <c r="L58" s="348" t="str">
        <f t="shared" si="12"/>
        <v>Faucet Aerators and Restrictors</v>
      </c>
      <c r="M58" s="311"/>
      <c r="N58" s="311"/>
      <c r="O58" s="312"/>
      <c r="P58" s="312"/>
      <c r="Q58" s="312"/>
      <c r="R58" s="312"/>
      <c r="S58" s="312"/>
      <c r="T58" s="312"/>
      <c r="U58" s="313"/>
      <c r="V58" s="322"/>
    </row>
    <row r="59" spans="2:22" x14ac:dyDescent="0.3">
      <c r="B59" s="354" t="s">
        <v>289</v>
      </c>
      <c r="C59" s="363">
        <f>V60</f>
        <v>0</v>
      </c>
      <c r="D59" s="356" t="s">
        <v>385</v>
      </c>
      <c r="E59" s="374"/>
      <c r="F59" s="366">
        <v>0.1</v>
      </c>
      <c r="G59" s="359" t="str">
        <f>IFERROR(D59*E59*F59,"-")</f>
        <v>-</v>
      </c>
      <c r="H59" s="365" t="str">
        <f t="shared" si="11"/>
        <v>-</v>
      </c>
      <c r="I59" s="365">
        <f t="shared" si="14"/>
        <v>0</v>
      </c>
      <c r="J59" s="305"/>
      <c r="L59" s="350">
        <f t="shared" si="12"/>
        <v>0</v>
      </c>
      <c r="M59" s="318"/>
      <c r="N59" s="318"/>
      <c r="O59" s="319"/>
      <c r="P59" s="319"/>
      <c r="Q59" s="319"/>
      <c r="R59" s="319"/>
      <c r="S59" s="319"/>
      <c r="T59" s="319"/>
      <c r="U59" s="320"/>
      <c r="V59" s="306"/>
    </row>
    <row r="60" spans="2:22" x14ac:dyDescent="0.3">
      <c r="B60" s="302"/>
      <c r="C60" s="324"/>
      <c r="D60" s="336">
        <f>M61</f>
        <v>0</v>
      </c>
      <c r="E60" s="368">
        <v>0</v>
      </c>
      <c r="F60" s="353">
        <f>F59</f>
        <v>0.1</v>
      </c>
      <c r="G60" s="326">
        <f>IFERROR(D60*E60*F60*$I$7, "-")</f>
        <v>0</v>
      </c>
      <c r="H60" s="327" t="str">
        <f t="shared" si="11"/>
        <v>-</v>
      </c>
      <c r="I60" s="327">
        <f t="shared" si="14"/>
        <v>0</v>
      </c>
      <c r="J60" s="305"/>
      <c r="L60" s="348" t="str">
        <f t="shared" si="12"/>
        <v>Low flow showerheads</v>
      </c>
      <c r="M60" s="311"/>
      <c r="N60" s="311"/>
      <c r="O60" s="312"/>
      <c r="P60" s="312"/>
      <c r="Q60" s="312"/>
      <c r="R60" s="312"/>
      <c r="S60" s="312"/>
      <c r="T60" s="312"/>
      <c r="U60" s="313"/>
      <c r="V60" s="322"/>
    </row>
    <row r="61" spans="2:22" x14ac:dyDescent="0.3">
      <c r="B61" s="354" t="s">
        <v>296</v>
      </c>
      <c r="C61" s="363">
        <f>V62</f>
        <v>4.0787159183752926E-3</v>
      </c>
      <c r="D61" s="356">
        <f>M62</f>
        <v>0</v>
      </c>
      <c r="E61" s="365">
        <v>1</v>
      </c>
      <c r="F61" s="366">
        <v>0.3</v>
      </c>
      <c r="G61" s="367">
        <f>MIN(G62,C61*I8)</f>
        <v>24544361.111111108</v>
      </c>
      <c r="H61" s="365">
        <f t="shared" si="11"/>
        <v>1.0362882467025996</v>
      </c>
      <c r="I61" s="365">
        <f t="shared" si="14"/>
        <v>4.2267253678511148E-3</v>
      </c>
      <c r="J61" s="305"/>
      <c r="L61" s="350">
        <f t="shared" si="12"/>
        <v>0</v>
      </c>
      <c r="M61" s="318"/>
      <c r="N61" s="318"/>
      <c r="O61" s="319"/>
      <c r="P61" s="319"/>
      <c r="Q61" s="319"/>
      <c r="R61" s="319"/>
      <c r="S61" s="319"/>
      <c r="T61" s="319"/>
      <c r="U61" s="320"/>
      <c r="V61" s="306"/>
    </row>
    <row r="62" spans="2:22" x14ac:dyDescent="0.3">
      <c r="B62" s="328" t="s">
        <v>1067</v>
      </c>
      <c r="C62" s="324"/>
      <c r="D62" s="336">
        <f>M63</f>
        <v>62.93425925925925</v>
      </c>
      <c r="E62" s="368">
        <v>1</v>
      </c>
      <c r="F62" s="353">
        <f>F61</f>
        <v>0.3</v>
      </c>
      <c r="G62" s="326">
        <f>IFERROR(D62*E62*F62*$I$7, "-")</f>
        <v>24544361.111111108</v>
      </c>
      <c r="H62" s="327">
        <f t="shared" si="11"/>
        <v>1.0362882467025996</v>
      </c>
      <c r="I62" s="327">
        <f t="shared" si="14"/>
        <v>4.2267253678511148E-3</v>
      </c>
      <c r="J62" s="305"/>
      <c r="L62" s="348" t="str">
        <f t="shared" si="12"/>
        <v>Dishwasher</v>
      </c>
      <c r="M62" s="311"/>
      <c r="N62" s="311"/>
      <c r="O62" s="312"/>
      <c r="P62" s="312"/>
      <c r="Q62" s="312"/>
      <c r="R62" s="312"/>
      <c r="S62" s="312"/>
      <c r="T62" s="312"/>
      <c r="U62" s="313"/>
      <c r="V62" s="316">
        <f>$J$104</f>
        <v>4.0787159183752926E-3</v>
      </c>
    </row>
    <row r="63" spans="2:22" x14ac:dyDescent="0.3">
      <c r="B63" s="354" t="s">
        <v>388</v>
      </c>
      <c r="C63" s="363">
        <f>V64</f>
        <v>4.5509068134170702E-2</v>
      </c>
      <c r="D63" s="356" t="s">
        <v>385</v>
      </c>
      <c r="E63" s="374"/>
      <c r="F63" s="366">
        <v>0.3</v>
      </c>
      <c r="G63" s="359">
        <f>MIN(SUM(G64:G66),C63*I8)</f>
        <v>0</v>
      </c>
      <c r="H63" s="365">
        <f t="shared" si="11"/>
        <v>0</v>
      </c>
      <c r="I63" s="365">
        <f t="shared" si="14"/>
        <v>0</v>
      </c>
      <c r="J63" s="305"/>
      <c r="L63" s="350" t="str">
        <f t="shared" si="12"/>
        <v>Upgrade to new standard dishwasher</v>
      </c>
      <c r="M63" s="318">
        <f>AVERAGE(N63:U63)</f>
        <v>62.93425925925925</v>
      </c>
      <c r="N63" s="318">
        <f>G167-Q175</f>
        <v>62.93425925925925</v>
      </c>
      <c r="O63" s="319"/>
      <c r="P63" s="319"/>
      <c r="Q63" s="319"/>
      <c r="R63" s="319"/>
      <c r="S63" s="319"/>
      <c r="T63" s="319"/>
      <c r="U63" s="320"/>
      <c r="V63" s="317">
        <f>$J$104</f>
        <v>4.0787159183752926E-3</v>
      </c>
    </row>
    <row r="64" spans="2:22" x14ac:dyDescent="0.3">
      <c r="B64" s="328" t="s">
        <v>180</v>
      </c>
      <c r="C64" s="324"/>
      <c r="D64" s="336">
        <f>M66</f>
        <v>0.5238095238095184</v>
      </c>
      <c r="E64" s="368">
        <v>0</v>
      </c>
      <c r="F64" s="353">
        <f>$F$63</f>
        <v>0.3</v>
      </c>
      <c r="G64" s="326">
        <f>IFERROR(D64*E64*F64*$I$7, "-")</f>
        <v>0</v>
      </c>
      <c r="H64" s="327">
        <f t="shared" ref="H64:H73" si="15">IFERROR(G64/($I$9*V66), "-")</f>
        <v>0</v>
      </c>
      <c r="I64" s="327">
        <f>IFERROR(H64*V66, 0)</f>
        <v>0</v>
      </c>
      <c r="J64" s="305"/>
      <c r="L64" s="348" t="str">
        <f t="shared" si="12"/>
        <v>Cooking</v>
      </c>
      <c r="M64" s="311"/>
      <c r="N64" s="311"/>
      <c r="O64" s="312"/>
      <c r="P64" s="312"/>
      <c r="Q64" s="312"/>
      <c r="R64" s="312"/>
      <c r="S64" s="312"/>
      <c r="T64" s="312"/>
      <c r="U64" s="313"/>
      <c r="V64" s="322">
        <f>SUM(V65:V68)</f>
        <v>4.5509068134170702E-2</v>
      </c>
    </row>
    <row r="65" spans="2:22" x14ac:dyDescent="0.3">
      <c r="B65" s="328" t="s">
        <v>162</v>
      </c>
      <c r="C65" s="324"/>
      <c r="D65" s="336">
        <f>M67</f>
        <v>0</v>
      </c>
      <c r="E65" s="368">
        <v>0</v>
      </c>
      <c r="F65" s="353">
        <f>$F$63</f>
        <v>0.3</v>
      </c>
      <c r="G65" s="326">
        <f>IFERROR(D65*E65*F65*$I$7, "-")</f>
        <v>0</v>
      </c>
      <c r="H65" s="327">
        <f t="shared" si="15"/>
        <v>0</v>
      </c>
      <c r="I65" s="327">
        <f>IFERROR(H65*V67, 0)</f>
        <v>0</v>
      </c>
      <c r="J65" s="305"/>
      <c r="L65" s="349" t="e">
        <f>#REF!</f>
        <v>#REF!</v>
      </c>
      <c r="M65" s="308">
        <f t="shared" si="3"/>
        <v>440.52380952380952</v>
      </c>
      <c r="N65" s="308">
        <f>G170-Q181</f>
        <v>440.52380952380952</v>
      </c>
      <c r="O65" s="309"/>
      <c r="P65" s="309"/>
      <c r="Q65" s="309"/>
      <c r="R65" s="309"/>
      <c r="S65" s="309"/>
      <c r="T65" s="309"/>
      <c r="U65" s="310"/>
      <c r="V65" s="317"/>
    </row>
    <row r="66" spans="2:22" x14ac:dyDescent="0.3">
      <c r="B66" s="328" t="s">
        <v>165</v>
      </c>
      <c r="C66" s="324"/>
      <c r="D66" s="336"/>
      <c r="E66" s="368">
        <v>0</v>
      </c>
      <c r="F66" s="353">
        <f>$F$63</f>
        <v>0.3</v>
      </c>
      <c r="G66" s="326">
        <f>IFERROR(D66*E66*F66*$I$7, "-")</f>
        <v>0</v>
      </c>
      <c r="H66" s="327">
        <f t="shared" si="15"/>
        <v>0</v>
      </c>
      <c r="I66" s="327">
        <f>IFERROR(H66*V68, 0)</f>
        <v>0</v>
      </c>
      <c r="J66" s="305"/>
      <c r="L66" s="349" t="str">
        <f t="shared" ref="L66:L74" si="16">B64</f>
        <v>Electric Cooking</v>
      </c>
      <c r="M66" s="308">
        <f t="shared" si="3"/>
        <v>0.5238095238095184</v>
      </c>
      <c r="N66" s="308">
        <f>G170-Q178</f>
        <v>0.5238095238095184</v>
      </c>
      <c r="O66" s="309"/>
      <c r="P66" s="309"/>
      <c r="Q66" s="309"/>
      <c r="R66" s="309"/>
      <c r="S66" s="309"/>
      <c r="T66" s="309"/>
      <c r="U66" s="310"/>
      <c r="V66" s="306">
        <f>J105</f>
        <v>2.5761508416832526E-2</v>
      </c>
    </row>
    <row r="67" spans="2:22" x14ac:dyDescent="0.3">
      <c r="B67" s="328" t="s">
        <v>936</v>
      </c>
      <c r="C67" s="324"/>
      <c r="D67" s="336"/>
      <c r="E67" s="368">
        <v>0</v>
      </c>
      <c r="F67" s="353">
        <f>$F$63</f>
        <v>0.3</v>
      </c>
      <c r="G67" s="326"/>
      <c r="H67" s="327" t="str">
        <f t="shared" si="15"/>
        <v>-</v>
      </c>
      <c r="I67" s="327"/>
      <c r="J67" s="305"/>
      <c r="L67" s="349" t="str">
        <f t="shared" si="16"/>
        <v>Propane Cooking</v>
      </c>
      <c r="M67" s="308">
        <f t="shared" si="3"/>
        <v>0</v>
      </c>
      <c r="N67" s="308">
        <f>G173-Q181</f>
        <v>0</v>
      </c>
      <c r="O67" s="309"/>
      <c r="P67" s="309"/>
      <c r="Q67" s="309"/>
      <c r="R67" s="309"/>
      <c r="S67" s="309"/>
      <c r="T67" s="309"/>
      <c r="U67" s="310"/>
      <c r="V67" s="317">
        <f>J106</f>
        <v>3.5441233823886413E-3</v>
      </c>
    </row>
    <row r="68" spans="2:22" x14ac:dyDescent="0.3">
      <c r="B68" s="354" t="s">
        <v>92</v>
      </c>
      <c r="C68" s="363">
        <f>V70</f>
        <v>0</v>
      </c>
      <c r="D68" s="356" t="s">
        <v>385</v>
      </c>
      <c r="E68" s="357"/>
      <c r="F68" s="366">
        <v>0</v>
      </c>
      <c r="G68" s="359" t="str">
        <f>IFERROR(D68*E68*F68,"-")</f>
        <v>-</v>
      </c>
      <c r="H68" s="365" t="str">
        <f t="shared" si="15"/>
        <v>-</v>
      </c>
      <c r="I68" s="365">
        <f t="shared" ref="I68:I73" si="17">IFERROR(H68*V70, 0)</f>
        <v>0</v>
      </c>
      <c r="J68" s="305"/>
      <c r="L68" s="349" t="str">
        <f t="shared" si="16"/>
        <v>Microwave</v>
      </c>
      <c r="M68" s="308">
        <f t="shared" si="3"/>
        <v>0</v>
      </c>
      <c r="N68" s="308">
        <f>G182-Q190</f>
        <v>0</v>
      </c>
      <c r="O68" s="309"/>
      <c r="P68" s="309"/>
      <c r="Q68" s="309"/>
      <c r="R68" s="309"/>
      <c r="S68" s="309"/>
      <c r="T68" s="309"/>
      <c r="U68" s="310"/>
      <c r="V68" s="306">
        <f>J107</f>
        <v>1.6203436334949532E-2</v>
      </c>
    </row>
    <row r="69" spans="2:22" x14ac:dyDescent="0.3">
      <c r="B69" s="302"/>
      <c r="C69" s="324"/>
      <c r="D69" s="336">
        <f>M71</f>
        <v>0</v>
      </c>
      <c r="E69" s="368">
        <v>0</v>
      </c>
      <c r="F69" s="353">
        <f>F68</f>
        <v>0</v>
      </c>
      <c r="G69" s="326">
        <f>IFERROR(D69*E69*F69*$I$7, "-")</f>
        <v>0</v>
      </c>
      <c r="H69" s="327" t="str">
        <f t="shared" si="15"/>
        <v>-</v>
      </c>
      <c r="I69" s="327">
        <f t="shared" si="17"/>
        <v>0</v>
      </c>
      <c r="J69" s="305"/>
      <c r="L69" s="349" t="str">
        <f t="shared" si="16"/>
        <v>Induction Stoves</v>
      </c>
      <c r="M69" s="308"/>
      <c r="N69" s="308"/>
      <c r="O69" s="309"/>
      <c r="P69" s="309"/>
      <c r="Q69" s="309"/>
      <c r="R69" s="309"/>
      <c r="S69" s="309"/>
      <c r="T69" s="309"/>
      <c r="U69" s="310"/>
      <c r="V69" s="306"/>
    </row>
    <row r="70" spans="2:22" x14ac:dyDescent="0.3">
      <c r="B70" s="354" t="s">
        <v>93</v>
      </c>
      <c r="C70" s="363">
        <f>V72</f>
        <v>0</v>
      </c>
      <c r="D70" s="356" t="s">
        <v>385</v>
      </c>
      <c r="E70" s="357"/>
      <c r="F70" s="366">
        <v>0</v>
      </c>
      <c r="G70" s="359" t="str">
        <f>IFERROR(D70*E70*F70,"-")</f>
        <v>-</v>
      </c>
      <c r="H70" s="365" t="str">
        <f t="shared" si="15"/>
        <v>-</v>
      </c>
      <c r="I70" s="365">
        <f t="shared" si="17"/>
        <v>0</v>
      </c>
      <c r="J70" s="323"/>
      <c r="L70" s="348" t="str">
        <f t="shared" si="16"/>
        <v>Plug Loads</v>
      </c>
      <c r="M70" s="311"/>
      <c r="N70" s="311"/>
      <c r="O70" s="312"/>
      <c r="P70" s="312"/>
      <c r="Q70" s="312"/>
      <c r="R70" s="312"/>
      <c r="S70" s="312"/>
      <c r="T70" s="312"/>
      <c r="U70" s="313"/>
      <c r="V70" s="321"/>
    </row>
    <row r="71" spans="2:22" x14ac:dyDescent="0.3">
      <c r="B71" s="302"/>
      <c r="C71" s="324"/>
      <c r="D71" s="336">
        <f>M73</f>
        <v>0</v>
      </c>
      <c r="E71" s="368">
        <v>0</v>
      </c>
      <c r="F71" s="353">
        <f>$F$70</f>
        <v>0</v>
      </c>
      <c r="G71" s="326">
        <f>IFERROR(D71*E71*F71*$I$7, "-")</f>
        <v>0</v>
      </c>
      <c r="H71" s="327" t="str">
        <f t="shared" si="15"/>
        <v>-</v>
      </c>
      <c r="I71" s="327">
        <f t="shared" si="17"/>
        <v>0</v>
      </c>
      <c r="J71" s="323"/>
      <c r="L71" s="350">
        <f t="shared" si="16"/>
        <v>0</v>
      </c>
      <c r="M71" s="318"/>
      <c r="N71" s="318"/>
      <c r="O71" s="319"/>
      <c r="P71" s="319"/>
      <c r="Q71" s="319"/>
      <c r="R71" s="319"/>
      <c r="S71" s="319"/>
      <c r="T71" s="319"/>
      <c r="U71" s="320"/>
      <c r="V71" s="315"/>
    </row>
    <row r="72" spans="2:22" x14ac:dyDescent="0.3">
      <c r="B72" s="354" t="s">
        <v>504</v>
      </c>
      <c r="C72" s="363">
        <f>V74</f>
        <v>0</v>
      </c>
      <c r="D72" s="356" t="s">
        <v>385</v>
      </c>
      <c r="E72" s="357"/>
      <c r="F72" s="366">
        <v>0</v>
      </c>
      <c r="G72" s="359" t="str">
        <f>IFERROR(D72*E72*F72,"-")</f>
        <v>-</v>
      </c>
      <c r="H72" s="365" t="str">
        <f t="shared" si="15"/>
        <v>-</v>
      </c>
      <c r="I72" s="365">
        <f t="shared" si="17"/>
        <v>0</v>
      </c>
      <c r="J72" s="323"/>
      <c r="L72" s="348" t="str">
        <f t="shared" si="16"/>
        <v>Advanced Metering</v>
      </c>
      <c r="M72" s="311"/>
      <c r="N72" s="311"/>
      <c r="O72" s="312"/>
      <c r="P72" s="312"/>
      <c r="Q72" s="312"/>
      <c r="R72" s="312"/>
      <c r="S72" s="312"/>
      <c r="T72" s="312"/>
      <c r="U72" s="313"/>
      <c r="V72" s="321"/>
    </row>
    <row r="73" spans="2:22" x14ac:dyDescent="0.3">
      <c r="B73" s="328" t="s">
        <v>505</v>
      </c>
      <c r="C73" s="324"/>
      <c r="D73" s="336">
        <f>M75</f>
        <v>0</v>
      </c>
      <c r="E73" s="368">
        <v>0</v>
      </c>
      <c r="F73" s="353">
        <f>$F$70</f>
        <v>0</v>
      </c>
      <c r="G73" s="326">
        <f>IFERROR(D73*E73*F73*$I$7, "-")</f>
        <v>0</v>
      </c>
      <c r="H73" s="327" t="str">
        <f t="shared" si="15"/>
        <v>-</v>
      </c>
      <c r="I73" s="327">
        <f t="shared" si="17"/>
        <v>0</v>
      </c>
      <c r="J73" s="323"/>
      <c r="L73" s="350">
        <f t="shared" si="16"/>
        <v>0</v>
      </c>
      <c r="M73" s="318"/>
      <c r="N73" s="318"/>
      <c r="O73" s="319"/>
      <c r="P73" s="319"/>
      <c r="Q73" s="319"/>
      <c r="R73" s="319"/>
      <c r="S73" s="319"/>
      <c r="T73" s="319"/>
      <c r="U73" s="320"/>
      <c r="V73" s="315"/>
    </row>
    <row r="74" spans="2:22" x14ac:dyDescent="0.3">
      <c r="B74" s="302"/>
      <c r="C74" s="324"/>
      <c r="D74" s="336"/>
      <c r="E74" s="325"/>
      <c r="F74" s="353"/>
      <c r="G74" s="326"/>
      <c r="H74" s="327"/>
      <c r="I74" s="327"/>
      <c r="J74" s="323"/>
      <c r="L74" s="348" t="str">
        <f t="shared" si="16"/>
        <v>Dehumidification only</v>
      </c>
      <c r="M74" s="311"/>
      <c r="N74" s="311"/>
      <c r="O74" s="312"/>
      <c r="P74" s="312"/>
      <c r="Q74" s="312"/>
      <c r="R74" s="312"/>
      <c r="S74" s="312"/>
      <c r="T74" s="312"/>
      <c r="U74" s="313"/>
      <c r="V74" s="321"/>
    </row>
    <row r="75" spans="2:22" x14ac:dyDescent="0.3">
      <c r="B75" s="354" t="s">
        <v>931</v>
      </c>
      <c r="C75" s="355"/>
      <c r="D75" s="356"/>
      <c r="E75" s="357"/>
      <c r="F75" s="358"/>
      <c r="G75" s="359"/>
      <c r="H75" s="360"/>
      <c r="I75" s="360"/>
      <c r="L75" s="328"/>
      <c r="M75" s="328"/>
      <c r="N75" s="328"/>
      <c r="O75" s="328"/>
      <c r="P75" s="328"/>
      <c r="Q75" s="328"/>
      <c r="R75" s="328"/>
      <c r="S75" s="328"/>
      <c r="T75" s="328"/>
      <c r="U75" s="328"/>
    </row>
    <row r="76" spans="2:22" x14ac:dyDescent="0.3">
      <c r="B76" s="328"/>
      <c r="C76" s="329"/>
      <c r="G76" s="330"/>
      <c r="H76" s="330"/>
      <c r="L76" s="328"/>
      <c r="M76" s="328"/>
      <c r="N76" s="328"/>
      <c r="O76" s="328"/>
      <c r="P76" s="328"/>
      <c r="Q76" s="328"/>
      <c r="R76" s="328"/>
      <c r="S76" s="328"/>
      <c r="T76" s="328"/>
      <c r="U76" s="328"/>
    </row>
    <row r="77" spans="2:22" ht="15.6" x14ac:dyDescent="0.3">
      <c r="B77" s="328" t="s">
        <v>918</v>
      </c>
      <c r="D77" s="331"/>
      <c r="G77" s="330"/>
      <c r="H77" s="330"/>
      <c r="L77" s="328"/>
      <c r="M77" s="328"/>
      <c r="N77" s="328"/>
      <c r="O77" s="328"/>
      <c r="P77" s="328"/>
      <c r="Q77" s="328"/>
      <c r="R77" s="328"/>
      <c r="S77" s="328"/>
      <c r="T77" s="328"/>
      <c r="U77" s="328"/>
    </row>
    <row r="78" spans="2:22" ht="15.6" x14ac:dyDescent="0.3">
      <c r="B78" s="328"/>
      <c r="D78" s="332"/>
      <c r="G78" s="330"/>
      <c r="H78" s="330"/>
      <c r="L78" s="328"/>
      <c r="M78" s="328"/>
      <c r="N78" s="328"/>
      <c r="O78" s="328"/>
      <c r="P78" s="328"/>
      <c r="Q78" s="328"/>
      <c r="R78" s="328"/>
      <c r="S78" s="328"/>
      <c r="T78" s="328"/>
      <c r="U78" s="328"/>
    </row>
    <row r="79" spans="2:22" ht="24" thickBot="1" x14ac:dyDescent="0.35">
      <c r="B79" s="333"/>
      <c r="C79" s="329"/>
      <c r="L79" s="328"/>
      <c r="M79" s="328"/>
      <c r="N79" s="328"/>
      <c r="O79" s="328"/>
      <c r="P79" s="328"/>
      <c r="Q79" s="328"/>
      <c r="R79" s="328"/>
      <c r="S79" s="328"/>
      <c r="T79" s="328"/>
      <c r="U79" s="328"/>
    </row>
    <row r="80" spans="2:22" ht="21.6" thickBot="1" x14ac:dyDescent="0.35">
      <c r="B80" s="518" t="s">
        <v>384</v>
      </c>
      <c r="C80" s="519"/>
      <c r="D80" s="519"/>
      <c r="E80" s="519"/>
      <c r="F80" s="519"/>
      <c r="G80" s="519"/>
      <c r="H80" s="519"/>
      <c r="I80" s="520"/>
      <c r="L80" s="328"/>
      <c r="M80" s="328"/>
      <c r="N80" s="328"/>
      <c r="O80" s="328"/>
      <c r="P80" s="328"/>
      <c r="Q80" s="328"/>
      <c r="R80" s="328"/>
      <c r="S80" s="328"/>
      <c r="T80" s="328"/>
      <c r="U80" s="328"/>
    </row>
    <row r="82" spans="2:14" x14ac:dyDescent="0.3">
      <c r="B82"/>
      <c r="C82"/>
      <c r="D82"/>
      <c r="E82"/>
      <c r="F82"/>
      <c r="G82"/>
      <c r="H82"/>
      <c r="I82"/>
    </row>
    <row r="83" spans="2:14" ht="23.4" x14ac:dyDescent="0.45">
      <c r="B83" s="99" t="s">
        <v>937</v>
      </c>
      <c r="C83"/>
      <c r="D83"/>
      <c r="E83"/>
      <c r="F83"/>
      <c r="G83"/>
      <c r="H83"/>
      <c r="I83"/>
    </row>
    <row r="84" spans="2:14" customFormat="1" hidden="1" outlineLevel="1" x14ac:dyDescent="0.3"/>
    <row r="85" spans="2:14" customFormat="1" hidden="1" outlineLevel="1" x14ac:dyDescent="0.3">
      <c r="B85" t="s">
        <v>394</v>
      </c>
    </row>
    <row r="86" spans="2:14" customFormat="1" hidden="1" outlineLevel="1" x14ac:dyDescent="0.3">
      <c r="B86" t="s">
        <v>395</v>
      </c>
      <c r="C86" s="109">
        <v>3300000</v>
      </c>
      <c r="E86" t="s">
        <v>125</v>
      </c>
      <c r="F86" s="110">
        <v>0.5</v>
      </c>
      <c r="I86" s="79" t="s">
        <v>229</v>
      </c>
    </row>
    <row r="87" spans="2:14" customFormat="1" hidden="1" outlineLevel="1" x14ac:dyDescent="0.3">
      <c r="B87" t="s">
        <v>396</v>
      </c>
      <c r="C87" s="111">
        <v>-0.11</v>
      </c>
      <c r="E87" t="s">
        <v>126</v>
      </c>
      <c r="F87" s="110">
        <v>0.25</v>
      </c>
      <c r="H87" s="112" t="s">
        <v>19</v>
      </c>
      <c r="I87" s="80">
        <v>866.06718930049931</v>
      </c>
    </row>
    <row r="88" spans="2:14" customFormat="1" hidden="1" outlineLevel="1" x14ac:dyDescent="0.3">
      <c r="C88" s="111"/>
      <c r="E88" t="s">
        <v>127</v>
      </c>
      <c r="F88" s="110">
        <v>0.25</v>
      </c>
      <c r="H88" s="114" t="s">
        <v>20</v>
      </c>
      <c r="I88" s="80">
        <v>1602.5493713751539</v>
      </c>
      <c r="J88" t="s">
        <v>295</v>
      </c>
      <c r="K88" s="29" t="s">
        <v>125</v>
      </c>
      <c r="L88" s="29" t="s">
        <v>126</v>
      </c>
      <c r="M88" s="29" t="s">
        <v>127</v>
      </c>
      <c r="N88" s="81" t="s">
        <v>387</v>
      </c>
    </row>
    <row r="89" spans="2:14" customFormat="1" hidden="1" outlineLevel="1" x14ac:dyDescent="0.3">
      <c r="B89" t="s">
        <v>290</v>
      </c>
      <c r="C89" s="109">
        <v>55901</v>
      </c>
      <c r="E89" t="s">
        <v>204</v>
      </c>
      <c r="F89" s="110">
        <v>1</v>
      </c>
      <c r="H89" s="112" t="s">
        <v>21</v>
      </c>
      <c r="I89" s="80">
        <v>1126.3673195879455</v>
      </c>
      <c r="J89" s="113">
        <f t="shared" ref="J89:J111" si="18">I87/$I$109</f>
        <v>6.9780899649035125E-2</v>
      </c>
      <c r="K89" s="2">
        <v>0</v>
      </c>
      <c r="L89" s="2">
        <v>1222.75</v>
      </c>
      <c r="M89" s="2">
        <v>4621</v>
      </c>
      <c r="N89" s="2">
        <v>0</v>
      </c>
    </row>
    <row r="90" spans="2:14" customFormat="1" hidden="1" outlineLevel="1" x14ac:dyDescent="0.3">
      <c r="B90" t="s">
        <v>291</v>
      </c>
      <c r="C90" s="109">
        <v>43214</v>
      </c>
      <c r="E90" t="s">
        <v>205</v>
      </c>
      <c r="F90" s="110">
        <v>0</v>
      </c>
      <c r="H90" s="114" t="s">
        <v>120</v>
      </c>
      <c r="I90" s="80">
        <v>4125.691347760705</v>
      </c>
      <c r="J90" s="113">
        <f t="shared" si="18"/>
        <v>0.12912085603528528</v>
      </c>
      <c r="K90" s="82">
        <v>567.50199999999995</v>
      </c>
      <c r="L90" s="82">
        <v>688.00066666666669</v>
      </c>
      <c r="M90" s="82">
        <v>1088.4786666666666</v>
      </c>
      <c r="N90" s="82">
        <v>2875.9872440647137</v>
      </c>
    </row>
    <row r="91" spans="2:14" customFormat="1" hidden="1" outlineLevel="1" x14ac:dyDescent="0.3">
      <c r="B91" t="s">
        <v>292</v>
      </c>
      <c r="C91" s="109">
        <v>16977</v>
      </c>
      <c r="E91" t="s">
        <v>206</v>
      </c>
      <c r="F91" s="110">
        <v>0</v>
      </c>
      <c r="H91" s="112" t="s">
        <v>121</v>
      </c>
      <c r="I91" s="80">
        <v>664.15691867029295</v>
      </c>
      <c r="J91" s="113">
        <f t="shared" si="18"/>
        <v>9.0753842042672783E-2</v>
      </c>
      <c r="K91" s="2">
        <v>797.84037037037047</v>
      </c>
      <c r="L91" s="2">
        <v>797.84037037037047</v>
      </c>
      <c r="M91" s="2">
        <v>1093.2987037037037</v>
      </c>
      <c r="N91" s="80">
        <v>1497.1283333333336</v>
      </c>
    </row>
    <row r="92" spans="2:14" customFormat="1" hidden="1" outlineLevel="1" x14ac:dyDescent="0.3">
      <c r="B92" t="s">
        <v>293</v>
      </c>
      <c r="C92" s="109">
        <v>26237</v>
      </c>
      <c r="H92" s="114" t="s">
        <v>122</v>
      </c>
      <c r="I92" s="80">
        <v>0</v>
      </c>
      <c r="J92" s="113">
        <f t="shared" si="18"/>
        <v>0.33241584195506507</v>
      </c>
      <c r="K92" s="2">
        <v>2771.5666666666666</v>
      </c>
      <c r="L92" s="2">
        <v>2433.2425058232193</v>
      </c>
      <c r="M92" s="2">
        <v>2728.3413131525735</v>
      </c>
      <c r="N92" s="80">
        <v>6236.0249999999996</v>
      </c>
    </row>
    <row r="93" spans="2:14" customFormat="1" hidden="1" outlineLevel="1" x14ac:dyDescent="0.3">
      <c r="B93" t="s">
        <v>294</v>
      </c>
      <c r="C93" s="111">
        <v>2.2523560320803284</v>
      </c>
      <c r="E93" t="s">
        <v>409</v>
      </c>
      <c r="F93" s="115">
        <f>F94+C91</f>
        <v>28625.691248766252</v>
      </c>
      <c r="H93" s="112" t="s">
        <v>92</v>
      </c>
      <c r="I93" s="80">
        <v>0</v>
      </c>
      <c r="J93" s="113">
        <f t="shared" si="18"/>
        <v>5.3512554066822648E-2</v>
      </c>
      <c r="K93" s="83">
        <v>493.5</v>
      </c>
      <c r="L93" s="83">
        <v>822.5</v>
      </c>
      <c r="M93" s="83">
        <v>1316</v>
      </c>
      <c r="N93" s="83">
        <v>493.5</v>
      </c>
    </row>
    <row r="94" spans="2:14" customFormat="1" hidden="1" outlineLevel="1" x14ac:dyDescent="0.3">
      <c r="C94" s="111"/>
      <c r="E94" t="s">
        <v>413</v>
      </c>
      <c r="F94" s="116">
        <f>C92/C93</f>
        <v>11648.691248766252</v>
      </c>
      <c r="H94" s="11" t="s">
        <v>93</v>
      </c>
      <c r="I94" s="80">
        <v>0</v>
      </c>
      <c r="J94" s="113">
        <f t="shared" si="18"/>
        <v>0</v>
      </c>
      <c r="N94" s="79"/>
    </row>
    <row r="95" spans="2:14" customFormat="1" hidden="1" outlineLevel="1" x14ac:dyDescent="0.3">
      <c r="B95" t="s">
        <v>397</v>
      </c>
      <c r="C95" s="109">
        <v>3748</v>
      </c>
      <c r="F95" s="117"/>
      <c r="H95" s="10" t="s">
        <v>95</v>
      </c>
      <c r="I95" s="80">
        <v>0</v>
      </c>
      <c r="J95" s="113">
        <f t="shared" si="18"/>
        <v>0</v>
      </c>
      <c r="N95" s="79"/>
    </row>
    <row r="96" spans="2:14" customFormat="1" hidden="1" outlineLevel="1" x14ac:dyDescent="0.3">
      <c r="B96" t="s">
        <v>398</v>
      </c>
      <c r="C96" s="111">
        <v>8.6731151941500439E-2</v>
      </c>
      <c r="E96" t="s">
        <v>500</v>
      </c>
      <c r="F96" s="113">
        <f>C91/F93</f>
        <v>0.59306864775646939</v>
      </c>
      <c r="H96" s="11" t="s">
        <v>200</v>
      </c>
      <c r="I96" s="80">
        <v>42.856154270645234</v>
      </c>
      <c r="J96" s="113">
        <f t="shared" si="18"/>
        <v>0</v>
      </c>
      <c r="N96" s="79"/>
    </row>
    <row r="97" spans="2:14" customFormat="1" hidden="1" outlineLevel="1" x14ac:dyDescent="0.3">
      <c r="B97" t="s">
        <v>399</v>
      </c>
      <c r="C97" s="111">
        <v>0.5</v>
      </c>
      <c r="E97" t="s">
        <v>501</v>
      </c>
      <c r="F97" s="113">
        <f>F94/F93</f>
        <v>0.40693135224353061</v>
      </c>
      <c r="H97" s="10" t="s">
        <v>201</v>
      </c>
      <c r="I97" s="80">
        <v>100.88787973634386</v>
      </c>
      <c r="J97" s="113">
        <f t="shared" si="18"/>
        <v>0</v>
      </c>
      <c r="N97" s="79"/>
    </row>
    <row r="98" spans="2:14" customFormat="1" hidden="1" outlineLevel="1" x14ac:dyDescent="0.3">
      <c r="C98" s="111"/>
      <c r="H98" s="11" t="s">
        <v>96</v>
      </c>
      <c r="I98" s="80">
        <v>0</v>
      </c>
      <c r="J98" s="113">
        <f t="shared" si="18"/>
        <v>3.4530126962999809E-3</v>
      </c>
      <c r="K98" s="83">
        <v>27.219259259259264</v>
      </c>
      <c r="L98" s="83">
        <v>61.243333333333347</v>
      </c>
      <c r="M98" s="83">
        <v>136.09629629629632</v>
      </c>
      <c r="N98" s="83">
        <v>13.609629629629632</v>
      </c>
    </row>
    <row r="99" spans="2:14" customFormat="1" hidden="1" outlineLevel="1" x14ac:dyDescent="0.3">
      <c r="B99" t="s">
        <v>400</v>
      </c>
      <c r="C99" s="111">
        <v>1.5688012911327126E-2</v>
      </c>
      <c r="H99" s="10" t="s">
        <v>119</v>
      </c>
      <c r="I99" s="80">
        <v>0</v>
      </c>
      <c r="J99" s="113">
        <f t="shared" si="18"/>
        <v>8.1287538642028506E-3</v>
      </c>
      <c r="K99" s="82">
        <v>0</v>
      </c>
      <c r="L99" s="82">
        <v>113.45608333333335</v>
      </c>
      <c r="M99" s="82">
        <v>567.28041666666672</v>
      </c>
      <c r="N99" s="82">
        <v>0</v>
      </c>
    </row>
    <row r="100" spans="2:14" customFormat="1" hidden="1" outlineLevel="1" x14ac:dyDescent="0.3">
      <c r="B100" t="s">
        <v>401</v>
      </c>
      <c r="C100" s="111">
        <v>0.01</v>
      </c>
      <c r="H100" s="11" t="s">
        <v>288</v>
      </c>
      <c r="I100" s="80">
        <v>0</v>
      </c>
      <c r="J100" s="113">
        <f t="shared" si="18"/>
        <v>0</v>
      </c>
      <c r="N100" s="79"/>
    </row>
    <row r="101" spans="2:14" customFormat="1" hidden="1" outlineLevel="1" x14ac:dyDescent="0.3">
      <c r="C101" s="111"/>
      <c r="H101" s="10" t="s">
        <v>289</v>
      </c>
      <c r="I101" s="80">
        <v>0</v>
      </c>
      <c r="J101" s="113">
        <f t="shared" si="18"/>
        <v>0</v>
      </c>
      <c r="N101" s="79"/>
    </row>
    <row r="102" spans="2:14" customFormat="1" hidden="1" outlineLevel="1" x14ac:dyDescent="0.3">
      <c r="B102" t="s">
        <v>402</v>
      </c>
      <c r="C102" s="111">
        <v>96.565395195600615</v>
      </c>
      <c r="H102" s="104" t="s">
        <v>296</v>
      </c>
      <c r="I102" s="80">
        <v>50.621904405775858</v>
      </c>
      <c r="J102" s="113">
        <f t="shared" si="18"/>
        <v>0</v>
      </c>
      <c r="N102" s="79"/>
    </row>
    <row r="103" spans="2:14" customFormat="1" hidden="1" outlineLevel="1" x14ac:dyDescent="0.3">
      <c r="B103" t="s">
        <v>403</v>
      </c>
      <c r="C103" s="111">
        <v>149.23639475448979</v>
      </c>
      <c r="H103" s="105" t="s">
        <v>297</v>
      </c>
      <c r="I103" s="80">
        <v>319.7321516191688</v>
      </c>
      <c r="J103" s="113">
        <f t="shared" si="18"/>
        <v>0</v>
      </c>
      <c r="N103" s="79"/>
    </row>
    <row r="104" spans="2:14" customFormat="1" hidden="1" outlineLevel="1" x14ac:dyDescent="0.3">
      <c r="H104" s="104" t="s">
        <v>162</v>
      </c>
      <c r="I104" s="80">
        <v>43.986950465777653</v>
      </c>
      <c r="J104" s="113">
        <f t="shared" si="18"/>
        <v>4.0787159183752926E-3</v>
      </c>
      <c r="K104" s="78">
        <v>0</v>
      </c>
      <c r="L104" s="78">
        <v>73.580240740740734</v>
      </c>
      <c r="M104" s="78">
        <v>210.22925925925927</v>
      </c>
      <c r="N104" s="78">
        <v>21.022925925925929</v>
      </c>
    </row>
    <row r="105" spans="2:14" customFormat="1" hidden="1" outlineLevel="1" x14ac:dyDescent="0.3">
      <c r="B105" t="s">
        <v>404</v>
      </c>
      <c r="C105" t="s">
        <v>405</v>
      </c>
      <c r="H105" s="105" t="s">
        <v>165</v>
      </c>
      <c r="I105" s="80">
        <v>201.10466666666667</v>
      </c>
      <c r="J105" s="113">
        <f t="shared" si="18"/>
        <v>2.5761508416832526E-2</v>
      </c>
      <c r="K105" s="83">
        <v>163.95714285714286</v>
      </c>
      <c r="L105" s="83">
        <v>163.95714285714286</v>
      </c>
      <c r="M105" s="83">
        <v>163.95714285714286</v>
      </c>
      <c r="N105" s="83">
        <v>546.52380952380952</v>
      </c>
    </row>
    <row r="106" spans="2:14" customFormat="1" hidden="1" outlineLevel="1" x14ac:dyDescent="0.3">
      <c r="B106" t="s">
        <v>406</v>
      </c>
      <c r="C106" t="s">
        <v>407</v>
      </c>
      <c r="H106" s="104" t="s">
        <v>300</v>
      </c>
      <c r="I106" s="80">
        <v>1601.7971529558743</v>
      </c>
      <c r="J106" s="113">
        <f t="shared" si="18"/>
        <v>3.5441233823886413E-3</v>
      </c>
      <c r="K106" s="83">
        <v>74.199999999999989</v>
      </c>
      <c r="L106" s="83">
        <v>74.199999999999989</v>
      </c>
      <c r="M106" s="83">
        <v>74.199999999999989</v>
      </c>
      <c r="N106" s="83">
        <v>0</v>
      </c>
    </row>
    <row r="107" spans="2:14" customFormat="1" hidden="1" outlineLevel="1" x14ac:dyDescent="0.3">
      <c r="H107" s="105" t="s">
        <v>301</v>
      </c>
      <c r="I107" s="80">
        <v>1665.4166415704135</v>
      </c>
      <c r="J107" s="113">
        <f t="shared" si="18"/>
        <v>1.6203436334949532E-2</v>
      </c>
      <c r="K107" s="83">
        <v>201.10466666666667</v>
      </c>
      <c r="L107" s="83">
        <v>201.10466666666667</v>
      </c>
      <c r="M107" s="83">
        <v>201.10466666666667</v>
      </c>
      <c r="N107" s="83">
        <v>201.10466666666667</v>
      </c>
    </row>
    <row r="108" spans="2:14" customFormat="1" hidden="1" outlineLevel="1" x14ac:dyDescent="0.3">
      <c r="B108" t="s">
        <v>408</v>
      </c>
      <c r="C108">
        <v>0</v>
      </c>
      <c r="H108" s="104" t="s">
        <v>302</v>
      </c>
      <c r="I108" s="80">
        <v>0</v>
      </c>
      <c r="J108" s="113">
        <f t="shared" si="18"/>
        <v>0.12906024817635889</v>
      </c>
      <c r="K108" s="83">
        <v>1337.5</v>
      </c>
      <c r="L108" s="83">
        <v>1783.3333333333335</v>
      </c>
      <c r="M108" s="83">
        <v>2675</v>
      </c>
      <c r="N108" s="83">
        <v>1337.5</v>
      </c>
    </row>
    <row r="109" spans="2:14" customFormat="1" hidden="1" outlineLevel="1" x14ac:dyDescent="0.3">
      <c r="H109" s="105" t="s">
        <v>16</v>
      </c>
      <c r="I109" s="2">
        <v>12411.235648385262</v>
      </c>
      <c r="J109" s="113">
        <f t="shared" si="18"/>
        <v>0.13418620746171145</v>
      </c>
      <c r="K109" s="83">
        <v>1550.52</v>
      </c>
      <c r="L109" s="83">
        <v>1938.15</v>
      </c>
      <c r="M109" s="83">
        <v>1938.15</v>
      </c>
      <c r="N109" s="83">
        <v>1550.52</v>
      </c>
    </row>
    <row r="110" spans="2:14" customFormat="1" hidden="1" outlineLevel="1" x14ac:dyDescent="0.3">
      <c r="J110" s="113">
        <f t="shared" si="18"/>
        <v>0</v>
      </c>
    </row>
    <row r="111" spans="2:14" customFormat="1" hidden="1" outlineLevel="1" x14ac:dyDescent="0.3">
      <c r="J111" s="113">
        <f t="shared" si="18"/>
        <v>1</v>
      </c>
    </row>
    <row r="112" spans="2:14" customFormat="1" hidden="1" outlineLevel="1" x14ac:dyDescent="0.3">
      <c r="J112" s="9"/>
    </row>
    <row r="113" spans="2:19" customFormat="1" hidden="1" outlineLevel="1" x14ac:dyDescent="0.3">
      <c r="J113" s="9"/>
    </row>
    <row r="114" spans="2:19" customFormat="1" hidden="1" outlineLevel="1" x14ac:dyDescent="0.3">
      <c r="J114" s="9"/>
    </row>
    <row r="115" spans="2:19" customFormat="1" hidden="1" outlineLevel="1" x14ac:dyDescent="0.3">
      <c r="J115" s="9"/>
    </row>
    <row r="116" spans="2:19" customFormat="1" hidden="1" outlineLevel="1" x14ac:dyDescent="0.3"/>
    <row r="117" spans="2:19" customFormat="1" hidden="1" outlineLevel="1" x14ac:dyDescent="0.3">
      <c r="B117" t="s">
        <v>544</v>
      </c>
    </row>
    <row r="118" spans="2:19" customFormat="1" hidden="1" outlineLevel="1" x14ac:dyDescent="0.3">
      <c r="B118" s="28"/>
      <c r="C118" s="29" t="s">
        <v>125</v>
      </c>
      <c r="D118" s="29" t="s">
        <v>126</v>
      </c>
      <c r="E118" s="29" t="s">
        <v>127</v>
      </c>
      <c r="F118" s="29" t="s">
        <v>204</v>
      </c>
      <c r="G118" t="s">
        <v>410</v>
      </c>
      <c r="H118" t="s">
        <v>411</v>
      </c>
      <c r="I118" t="s">
        <v>412</v>
      </c>
    </row>
    <row r="119" spans="2:19" customFormat="1" hidden="1" outlineLevel="1" x14ac:dyDescent="0.3">
      <c r="B119" s="30" t="s">
        <v>21</v>
      </c>
      <c r="C119" s="31">
        <v>69</v>
      </c>
      <c r="D119" s="31"/>
      <c r="E119" s="31"/>
      <c r="F119" s="31"/>
      <c r="L119" t="s">
        <v>545</v>
      </c>
    </row>
    <row r="120" spans="2:19" customFormat="1" hidden="1" outlineLevel="1" x14ac:dyDescent="0.3">
      <c r="B120" s="32" t="s">
        <v>138</v>
      </c>
      <c r="C120" s="33"/>
      <c r="D120" s="33"/>
      <c r="E120" s="33"/>
      <c r="F120" s="33"/>
      <c r="L120" s="28"/>
      <c r="M120" s="29" t="s">
        <v>125</v>
      </c>
      <c r="N120" s="29" t="s">
        <v>126</v>
      </c>
      <c r="O120" s="29" t="s">
        <v>127</v>
      </c>
      <c r="P120" s="29" t="s">
        <v>204</v>
      </c>
      <c r="Q120" t="s">
        <v>410</v>
      </c>
      <c r="R120" t="s">
        <v>411</v>
      </c>
      <c r="S120" t="s">
        <v>412</v>
      </c>
    </row>
    <row r="121" spans="2:19" customFormat="1" hidden="1" outlineLevel="1" x14ac:dyDescent="0.3">
      <c r="B121" s="34" t="s">
        <v>129</v>
      </c>
      <c r="C121" s="118">
        <v>1</v>
      </c>
      <c r="D121" s="118">
        <v>1</v>
      </c>
      <c r="E121" s="118">
        <v>1</v>
      </c>
      <c r="F121" s="118">
        <v>1</v>
      </c>
      <c r="G121" s="119">
        <f t="shared" ref="G121:G152" si="19">C121*$F$86+D121*$F$87+E121*$F$88</f>
        <v>1</v>
      </c>
      <c r="H121" s="119">
        <f t="shared" ref="H121:H152" si="20">C121*$F$86*$C$91/$F$93+D121*$F$87*$C$91/$F$93+E121*$F$88*$C$91/$F$93+F121*$F$89*$F$94/$F$93</f>
        <v>1</v>
      </c>
      <c r="I121" s="119">
        <f t="shared" ref="I121:I152" si="21">C121*$F$86*$C$91/$C$90+D121*$F$87*$C$91/$C$90+E121*$F$88*$C$91/$C$90+F121*$F$89*$C$92/$C$90</f>
        <v>1</v>
      </c>
      <c r="L121" s="30" t="s">
        <v>21</v>
      </c>
      <c r="M121" s="31"/>
      <c r="N121" s="31"/>
      <c r="O121" s="31"/>
      <c r="P121" s="31"/>
    </row>
    <row r="122" spans="2:19" customFormat="1" hidden="1" outlineLevel="1" x14ac:dyDescent="0.3">
      <c r="B122" s="34" t="s">
        <v>130</v>
      </c>
      <c r="C122" s="120">
        <v>665.39037037037042</v>
      </c>
      <c r="D122" s="120">
        <v>665.39037037037042</v>
      </c>
      <c r="E122" s="120">
        <v>665.39037037037042</v>
      </c>
      <c r="F122" s="120">
        <v>665.39037037037042</v>
      </c>
      <c r="G122" s="121">
        <f t="shared" si="19"/>
        <v>665.39037037037042</v>
      </c>
      <c r="H122" s="121">
        <f t="shared" si="20"/>
        <v>665.39037037037042</v>
      </c>
      <c r="I122" s="121">
        <f t="shared" si="21"/>
        <v>665.39037037037042</v>
      </c>
      <c r="L122" s="32" t="s">
        <v>128</v>
      </c>
      <c r="M122" s="33"/>
      <c r="N122" s="33"/>
      <c r="O122" s="33"/>
      <c r="P122" s="33"/>
    </row>
    <row r="123" spans="2:19" customFormat="1" hidden="1" outlineLevel="1" x14ac:dyDescent="0.3">
      <c r="B123" s="32" t="s">
        <v>139</v>
      </c>
      <c r="C123" s="33"/>
      <c r="D123" s="33"/>
      <c r="E123" s="33"/>
      <c r="F123" s="33"/>
      <c r="G123" s="122">
        <f t="shared" si="19"/>
        <v>0</v>
      </c>
      <c r="H123" s="122">
        <f t="shared" si="20"/>
        <v>0</v>
      </c>
      <c r="I123" s="122">
        <f t="shared" si="21"/>
        <v>0</v>
      </c>
      <c r="L123" s="34" t="s">
        <v>129</v>
      </c>
      <c r="M123" s="118">
        <v>1</v>
      </c>
      <c r="N123" s="118">
        <v>1</v>
      </c>
      <c r="O123" s="118">
        <v>1</v>
      </c>
      <c r="P123" s="118">
        <v>1</v>
      </c>
      <c r="Q123" s="119">
        <f t="shared" ref="Q123:Q154" si="22">M123*$F$86+N123*$F$87+O123*$F$88</f>
        <v>1</v>
      </c>
      <c r="R123" s="119">
        <f t="shared" ref="R123:R154" si="23">M123*$F$86*$C$91/$F$93+N123*$F$87*$C$91/$F$93+O123*$F$88*$C$91/$F$93+P123*$F$89*$F$94/$F$93</f>
        <v>1</v>
      </c>
      <c r="S123" s="119">
        <f t="shared" ref="S123:S154" si="24">M123*$F$86*$C$91/$C$90+N123*$F$87*$C$91/$C$90+O123*$F$88*$C$91/$C$90+P123*$F$89*$C$92/$C$90</f>
        <v>1</v>
      </c>
    </row>
    <row r="124" spans="2:19" customFormat="1" hidden="1" outlineLevel="1" x14ac:dyDescent="0.3">
      <c r="B124" s="34" t="s">
        <v>129</v>
      </c>
      <c r="C124" s="118">
        <v>0</v>
      </c>
      <c r="D124" s="118">
        <v>0</v>
      </c>
      <c r="E124" s="118">
        <v>0.25</v>
      </c>
      <c r="F124" s="118">
        <v>0</v>
      </c>
      <c r="G124" s="119">
        <f t="shared" si="19"/>
        <v>6.25E-2</v>
      </c>
      <c r="H124" s="119">
        <f t="shared" si="20"/>
        <v>3.7066790484779337E-2</v>
      </c>
      <c r="I124" s="119">
        <f t="shared" si="21"/>
        <v>2.4553674735039572E-2</v>
      </c>
      <c r="L124" s="34" t="s">
        <v>130</v>
      </c>
      <c r="M124" s="120">
        <v>489.63055555555565</v>
      </c>
      <c r="N124" s="120">
        <v>489.63055555555565</v>
      </c>
      <c r="O124" s="120">
        <v>489.63055555555565</v>
      </c>
      <c r="P124" s="120">
        <v>489.63055555555565</v>
      </c>
      <c r="Q124" s="121">
        <f t="shared" si="22"/>
        <v>489.63055555555565</v>
      </c>
      <c r="R124" s="121">
        <f t="shared" si="23"/>
        <v>489.63055555555565</v>
      </c>
      <c r="S124" s="121">
        <f t="shared" si="24"/>
        <v>489.6305555555557</v>
      </c>
    </row>
    <row r="125" spans="2:19" customFormat="1" hidden="1" outlineLevel="1" x14ac:dyDescent="0.3">
      <c r="B125" s="34" t="s">
        <v>130</v>
      </c>
      <c r="C125" s="120">
        <v>1181.8333333333333</v>
      </c>
      <c r="D125" s="120">
        <v>1181.8333333333333</v>
      </c>
      <c r="E125" s="120">
        <v>1181.8333333333333</v>
      </c>
      <c r="F125" s="120">
        <v>1181.8333333333333</v>
      </c>
      <c r="G125" s="121">
        <f t="shared" si="19"/>
        <v>1181.8333333333333</v>
      </c>
      <c r="H125" s="121">
        <f t="shared" si="20"/>
        <v>1181.8333333333333</v>
      </c>
      <c r="I125" s="121">
        <f t="shared" si="21"/>
        <v>1181.8333333333333</v>
      </c>
      <c r="L125" s="32" t="s">
        <v>131</v>
      </c>
      <c r="M125" s="33"/>
      <c r="N125" s="33"/>
      <c r="O125" s="33"/>
      <c r="P125" s="33"/>
      <c r="Q125" s="122">
        <f t="shared" si="22"/>
        <v>0</v>
      </c>
      <c r="R125" s="122">
        <f t="shared" si="23"/>
        <v>0</v>
      </c>
      <c r="S125" s="122">
        <f t="shared" si="24"/>
        <v>0</v>
      </c>
    </row>
    <row r="126" spans="2:19" customFormat="1" hidden="1" outlineLevel="1" x14ac:dyDescent="0.3">
      <c r="B126" s="32" t="s">
        <v>140</v>
      </c>
      <c r="C126" s="33"/>
      <c r="D126" s="33"/>
      <c r="E126" s="33"/>
      <c r="F126" s="33"/>
      <c r="G126" s="122">
        <f t="shared" si="19"/>
        <v>0</v>
      </c>
      <c r="H126" s="122">
        <f t="shared" si="20"/>
        <v>0</v>
      </c>
      <c r="I126" s="122">
        <f t="shared" si="21"/>
        <v>0</v>
      </c>
      <c r="L126" s="34" t="s">
        <v>129</v>
      </c>
      <c r="M126" s="118">
        <v>0</v>
      </c>
      <c r="N126" s="118">
        <v>0</v>
      </c>
      <c r="O126" s="118">
        <v>0.25</v>
      </c>
      <c r="P126" s="118">
        <v>0</v>
      </c>
      <c r="Q126" s="119">
        <f t="shared" si="22"/>
        <v>6.25E-2</v>
      </c>
      <c r="R126" s="119">
        <f t="shared" si="23"/>
        <v>3.7066790484779337E-2</v>
      </c>
      <c r="S126" s="119">
        <f t="shared" si="24"/>
        <v>2.4553674735039572E-2</v>
      </c>
    </row>
    <row r="127" spans="2:19" customFormat="1" hidden="1" outlineLevel="1" x14ac:dyDescent="0.3">
      <c r="B127" s="34" t="s">
        <v>129</v>
      </c>
      <c r="C127" s="123">
        <v>0.25</v>
      </c>
      <c r="D127" s="123">
        <v>0.25</v>
      </c>
      <c r="E127" s="123">
        <v>0.25</v>
      </c>
      <c r="F127" s="123">
        <v>0</v>
      </c>
      <c r="G127" s="124">
        <f t="shared" si="19"/>
        <v>0.25</v>
      </c>
      <c r="H127" s="124">
        <f t="shared" si="20"/>
        <v>0.14826716193911735</v>
      </c>
      <c r="I127" s="124">
        <f t="shared" si="21"/>
        <v>9.8214698940158288E-2</v>
      </c>
      <c r="L127" s="34" t="s">
        <v>130</v>
      </c>
      <c r="M127" s="120">
        <v>489.63055555555565</v>
      </c>
      <c r="N127" s="120">
        <v>489.63055555555565</v>
      </c>
      <c r="O127" s="120">
        <v>489.63055555555565</v>
      </c>
      <c r="P127" s="120">
        <v>489.63055555555565</v>
      </c>
      <c r="Q127" s="121">
        <f t="shared" si="22"/>
        <v>489.63055555555565</v>
      </c>
      <c r="R127" s="121">
        <f t="shared" si="23"/>
        <v>489.63055555555565</v>
      </c>
      <c r="S127" s="121">
        <f t="shared" si="24"/>
        <v>489.6305555555557</v>
      </c>
    </row>
    <row r="128" spans="2:19" customFormat="1" hidden="1" outlineLevel="1" x14ac:dyDescent="0.3">
      <c r="B128" s="34" t="s">
        <v>130</v>
      </c>
      <c r="C128" s="120">
        <v>529.79999999999995</v>
      </c>
      <c r="D128" s="120">
        <v>529.79999999999995</v>
      </c>
      <c r="E128" s="120">
        <v>529.79999999999995</v>
      </c>
      <c r="F128" s="120">
        <v>529.79999999999995</v>
      </c>
      <c r="G128" s="121">
        <f t="shared" si="19"/>
        <v>529.79999999999995</v>
      </c>
      <c r="H128" s="121">
        <f t="shared" si="20"/>
        <v>529.79999999999995</v>
      </c>
      <c r="I128" s="121">
        <f t="shared" si="21"/>
        <v>529.79999999999995</v>
      </c>
      <c r="L128" s="32" t="s">
        <v>132</v>
      </c>
      <c r="M128" s="33"/>
      <c r="N128" s="33"/>
      <c r="O128" s="33"/>
      <c r="P128" s="33"/>
      <c r="Q128" s="122">
        <f t="shared" si="22"/>
        <v>0</v>
      </c>
      <c r="R128" s="122">
        <f t="shared" si="23"/>
        <v>0</v>
      </c>
      <c r="S128" s="122">
        <f t="shared" si="24"/>
        <v>0</v>
      </c>
    </row>
    <row r="129" spans="2:19" customFormat="1" hidden="1" outlineLevel="1" x14ac:dyDescent="0.3">
      <c r="B129" s="34" t="s">
        <v>141</v>
      </c>
      <c r="C129" s="120">
        <v>797.84037037037047</v>
      </c>
      <c r="D129" s="120">
        <v>797.84037037037047</v>
      </c>
      <c r="E129" s="120">
        <v>1093.2987037037037</v>
      </c>
      <c r="F129" s="120">
        <v>665.39037037037042</v>
      </c>
      <c r="G129" s="121">
        <f t="shared" si="19"/>
        <v>871.70495370370372</v>
      </c>
      <c r="H129" s="121">
        <f t="shared" si="20"/>
        <v>787.74908132030987</v>
      </c>
      <c r="I129" s="121">
        <f t="shared" si="21"/>
        <v>746.44286912656048</v>
      </c>
      <c r="L129" s="34" t="s">
        <v>129</v>
      </c>
      <c r="M129" s="123">
        <v>0.25</v>
      </c>
      <c r="N129" s="123">
        <v>0.25</v>
      </c>
      <c r="O129" s="123">
        <v>0.25</v>
      </c>
      <c r="P129" s="123">
        <v>0</v>
      </c>
      <c r="Q129" s="124">
        <f t="shared" si="22"/>
        <v>0.25</v>
      </c>
      <c r="R129" s="124">
        <f t="shared" si="23"/>
        <v>0.14826716193911735</v>
      </c>
      <c r="S129" s="124">
        <f t="shared" si="24"/>
        <v>9.8214698940158288E-2</v>
      </c>
    </row>
    <row r="130" spans="2:19" customFormat="1" hidden="1" outlineLevel="1" x14ac:dyDescent="0.3">
      <c r="B130" s="34" t="s">
        <v>133</v>
      </c>
      <c r="C130" s="120">
        <v>797.84037037037047</v>
      </c>
      <c r="D130" s="120">
        <v>797.84037037037047</v>
      </c>
      <c r="E130" s="120">
        <v>1093.2987037037037</v>
      </c>
      <c r="F130" s="120">
        <v>1498.6960143918677</v>
      </c>
      <c r="G130" s="121">
        <f t="shared" si="19"/>
        <v>871.70495370370372</v>
      </c>
      <c r="H130" s="121">
        <f t="shared" si="20"/>
        <v>1126.8472738741439</v>
      </c>
      <c r="I130" s="121">
        <f t="shared" si="21"/>
        <v>1252.3770613372335</v>
      </c>
      <c r="L130" s="34" t="s">
        <v>130</v>
      </c>
      <c r="M130" s="120">
        <v>310.83499999999998</v>
      </c>
      <c r="N130" s="120">
        <v>310.83499999999998</v>
      </c>
      <c r="O130" s="120">
        <v>310.83499999999998</v>
      </c>
      <c r="P130" s="120">
        <v>310.83499999999998</v>
      </c>
      <c r="Q130" s="121">
        <f t="shared" si="22"/>
        <v>310.83499999999998</v>
      </c>
      <c r="R130" s="121">
        <f t="shared" si="23"/>
        <v>310.83499999999998</v>
      </c>
      <c r="S130" s="121">
        <f t="shared" si="24"/>
        <v>310.83499999999998</v>
      </c>
    </row>
    <row r="131" spans="2:19" customFormat="1" hidden="1" outlineLevel="1" x14ac:dyDescent="0.3">
      <c r="B131" s="30" t="s">
        <v>143</v>
      </c>
      <c r="C131" s="31"/>
      <c r="D131" s="31"/>
      <c r="E131" s="31"/>
      <c r="F131" s="31"/>
      <c r="G131" s="127">
        <f t="shared" si="19"/>
        <v>0</v>
      </c>
      <c r="H131" s="127">
        <f t="shared" si="20"/>
        <v>0</v>
      </c>
      <c r="I131" s="127">
        <f t="shared" si="21"/>
        <v>0</v>
      </c>
      <c r="L131" s="34" t="s">
        <v>133</v>
      </c>
      <c r="M131" s="120">
        <v>567.3393055555556</v>
      </c>
      <c r="N131" s="120">
        <v>567.3393055555556</v>
      </c>
      <c r="O131" s="120">
        <v>689.74694444444458</v>
      </c>
      <c r="P131" s="120">
        <v>1102.822335296398</v>
      </c>
      <c r="Q131" s="121">
        <f t="shared" si="22"/>
        <v>597.94121527777781</v>
      </c>
      <c r="R131" s="121">
        <f t="shared" si="23"/>
        <v>803.39317216918323</v>
      </c>
      <c r="S131" s="121">
        <f t="shared" si="24"/>
        <v>904.47534648360329</v>
      </c>
    </row>
    <row r="132" spans="2:19" customFormat="1" hidden="1" outlineLevel="1" x14ac:dyDescent="0.3">
      <c r="B132" s="32" t="s">
        <v>144</v>
      </c>
      <c r="C132" s="33"/>
      <c r="D132" s="33"/>
      <c r="E132" s="33"/>
      <c r="F132" s="33"/>
      <c r="G132" s="122">
        <f t="shared" si="19"/>
        <v>0</v>
      </c>
      <c r="H132" s="122">
        <f t="shared" si="20"/>
        <v>0</v>
      </c>
      <c r="I132" s="122">
        <f t="shared" si="21"/>
        <v>0</v>
      </c>
      <c r="L132" s="32" t="s">
        <v>134</v>
      </c>
      <c r="M132" s="125">
        <v>230.50106481481487</v>
      </c>
      <c r="N132" s="125">
        <v>230.50106481481487</v>
      </c>
      <c r="O132" s="125">
        <v>403.55175925925914</v>
      </c>
      <c r="P132" s="125">
        <v>395.8736790954697</v>
      </c>
      <c r="Q132" s="126">
        <f t="shared" si="22"/>
        <v>273.76373842592591</v>
      </c>
      <c r="R132" s="126">
        <f t="shared" si="23"/>
        <v>323.45410170496064</v>
      </c>
      <c r="S132" s="126">
        <f t="shared" si="24"/>
        <v>347.90171485363038</v>
      </c>
    </row>
    <row r="133" spans="2:19" customFormat="1" hidden="1" outlineLevel="1" x14ac:dyDescent="0.3">
      <c r="B133" s="34" t="s">
        <v>129</v>
      </c>
      <c r="C133" s="118">
        <v>0</v>
      </c>
      <c r="D133" s="118">
        <v>0.25</v>
      </c>
      <c r="E133" s="118">
        <v>0.5</v>
      </c>
      <c r="F133" s="118">
        <v>0</v>
      </c>
      <c r="G133" s="119">
        <f t="shared" si="19"/>
        <v>0.1875</v>
      </c>
      <c r="H133" s="119">
        <f t="shared" si="20"/>
        <v>0.111200371454338</v>
      </c>
      <c r="I133" s="119">
        <f t="shared" si="21"/>
        <v>7.3661024205118719E-2</v>
      </c>
      <c r="L133" s="32" t="s">
        <v>135</v>
      </c>
      <c r="M133" s="128">
        <v>0.28890624412476462</v>
      </c>
      <c r="N133" s="128">
        <v>0.28890624412476462</v>
      </c>
      <c r="O133" s="128">
        <v>0.36911390994260818</v>
      </c>
      <c r="P133" s="128">
        <v>0.26414541394246988</v>
      </c>
      <c r="Q133" s="129">
        <f t="shared" si="22"/>
        <v>0.30895816057922554</v>
      </c>
      <c r="R133" s="129">
        <f t="shared" si="23"/>
        <v>0.29072244899258382</v>
      </c>
      <c r="S133" s="129">
        <f t="shared" si="24"/>
        <v>0.28175049562091203</v>
      </c>
    </row>
    <row r="134" spans="2:19" customFormat="1" hidden="1" outlineLevel="1" x14ac:dyDescent="0.3">
      <c r="B134" s="34" t="s">
        <v>145</v>
      </c>
      <c r="C134" s="130">
        <v>8.6000000000000014</v>
      </c>
      <c r="D134" s="130">
        <v>8.5</v>
      </c>
      <c r="E134" s="130">
        <v>8.5</v>
      </c>
      <c r="F134" s="130">
        <v>8.6000000000000014</v>
      </c>
      <c r="G134" s="131">
        <f t="shared" si="19"/>
        <v>8.5500000000000007</v>
      </c>
      <c r="H134" s="131">
        <f t="shared" si="20"/>
        <v>8.5703465676121766</v>
      </c>
      <c r="I134" s="131">
        <f t="shared" si="21"/>
        <v>8.5803570602119699</v>
      </c>
      <c r="L134" s="32" t="s">
        <v>136</v>
      </c>
      <c r="M134" s="128">
        <v>2.8867083255803391E-2</v>
      </c>
      <c r="N134" s="128">
        <v>2.2220486094321132E-2</v>
      </c>
      <c r="O134" s="128">
        <v>2.4002169975416494E-2</v>
      </c>
      <c r="P134" s="128">
        <v>2.1517464390710554E-2</v>
      </c>
      <c r="Q134" s="129">
        <f t="shared" si="22"/>
        <v>2.5989205645336098E-2</v>
      </c>
      <c r="R134" s="129">
        <f t="shared" si="23"/>
        <v>2.4169513929708144E-2</v>
      </c>
      <c r="S134" s="129">
        <f t="shared" si="24"/>
        <v>2.3274227274955893E-2</v>
      </c>
    </row>
    <row r="135" spans="2:19" customFormat="1" hidden="1" outlineLevel="1" x14ac:dyDescent="0.3">
      <c r="B135" s="34" t="s">
        <v>130</v>
      </c>
      <c r="C135" s="120">
        <v>2068.2602304315728</v>
      </c>
      <c r="D135" s="120">
        <v>2445.5</v>
      </c>
      <c r="E135" s="120">
        <v>4621</v>
      </c>
      <c r="F135" s="120">
        <v>1853.6294518018815</v>
      </c>
      <c r="G135" s="121">
        <f t="shared" si="19"/>
        <v>2800.7551152157866</v>
      </c>
      <c r="H135" s="121">
        <f t="shared" si="20"/>
        <v>2415.3399882582153</v>
      </c>
      <c r="I135" s="121">
        <f t="shared" si="21"/>
        <v>2225.7160993646589</v>
      </c>
      <c r="L135" s="30" t="s">
        <v>143</v>
      </c>
      <c r="M135" s="31"/>
      <c r="N135" s="31"/>
      <c r="O135" s="31"/>
      <c r="P135" s="31"/>
      <c r="Q135" s="127">
        <f t="shared" si="22"/>
        <v>0</v>
      </c>
      <c r="R135" s="127">
        <f t="shared" si="23"/>
        <v>0</v>
      </c>
      <c r="S135" s="127">
        <f t="shared" si="24"/>
        <v>0</v>
      </c>
    </row>
    <row r="136" spans="2:19" customFormat="1" hidden="1" outlineLevel="1" x14ac:dyDescent="0.3">
      <c r="B136" s="32" t="s">
        <v>146</v>
      </c>
      <c r="C136" s="33"/>
      <c r="D136" s="33"/>
      <c r="E136" s="33"/>
      <c r="F136" s="33"/>
      <c r="G136" s="122">
        <f t="shared" si="19"/>
        <v>0</v>
      </c>
      <c r="H136" s="122">
        <f t="shared" si="20"/>
        <v>0</v>
      </c>
      <c r="I136" s="122">
        <f t="shared" si="21"/>
        <v>0</v>
      </c>
      <c r="L136" s="32" t="s">
        <v>144</v>
      </c>
      <c r="M136" s="33"/>
      <c r="N136" s="33"/>
      <c r="O136" s="33"/>
      <c r="P136" s="33"/>
      <c r="Q136" s="122">
        <f t="shared" si="22"/>
        <v>0</v>
      </c>
      <c r="R136" s="122">
        <f t="shared" si="23"/>
        <v>0</v>
      </c>
      <c r="S136" s="122">
        <f t="shared" si="24"/>
        <v>0</v>
      </c>
    </row>
    <row r="137" spans="2:19" customFormat="1" hidden="1" outlineLevel="1" x14ac:dyDescent="0.3">
      <c r="B137" s="34" t="s">
        <v>129</v>
      </c>
      <c r="C137" s="118">
        <v>0</v>
      </c>
      <c r="D137" s="118">
        <v>0</v>
      </c>
      <c r="E137" s="118">
        <v>0</v>
      </c>
      <c r="F137" s="118">
        <v>0</v>
      </c>
      <c r="G137" s="119">
        <f t="shared" si="19"/>
        <v>0</v>
      </c>
      <c r="H137" s="119">
        <f t="shared" si="20"/>
        <v>0</v>
      </c>
      <c r="I137" s="119">
        <f t="shared" si="21"/>
        <v>0</v>
      </c>
      <c r="L137" s="34" t="s">
        <v>129</v>
      </c>
      <c r="M137" s="118">
        <v>0</v>
      </c>
      <c r="N137" s="118">
        <v>0.25</v>
      </c>
      <c r="O137" s="118">
        <v>0.5</v>
      </c>
      <c r="P137" s="118">
        <v>0</v>
      </c>
      <c r="Q137" s="119">
        <f t="shared" si="22"/>
        <v>0.1875</v>
      </c>
      <c r="R137" s="119">
        <f t="shared" si="23"/>
        <v>0.111200371454338</v>
      </c>
      <c r="S137" s="119">
        <f t="shared" si="24"/>
        <v>7.3661024205118719E-2</v>
      </c>
    </row>
    <row r="138" spans="2:19" customFormat="1" hidden="1" outlineLevel="1" x14ac:dyDescent="0.3">
      <c r="B138" s="34" t="s">
        <v>145</v>
      </c>
      <c r="C138" s="130">
        <v>13.98</v>
      </c>
      <c r="D138" s="130">
        <v>13.98</v>
      </c>
      <c r="E138" s="130">
        <v>13.98</v>
      </c>
      <c r="F138" s="130">
        <v>13.98</v>
      </c>
      <c r="G138" s="131">
        <f t="shared" si="19"/>
        <v>13.98</v>
      </c>
      <c r="H138" s="131">
        <f t="shared" si="20"/>
        <v>13.98</v>
      </c>
      <c r="I138" s="131">
        <f t="shared" si="21"/>
        <v>13.98</v>
      </c>
      <c r="L138" s="34" t="s">
        <v>145</v>
      </c>
      <c r="M138" s="130">
        <v>10.7</v>
      </c>
      <c r="N138" s="130">
        <v>10.7</v>
      </c>
      <c r="O138" s="130">
        <v>10.7</v>
      </c>
      <c r="P138" s="130">
        <v>10.7</v>
      </c>
      <c r="Q138" s="131">
        <f t="shared" si="22"/>
        <v>10.7</v>
      </c>
      <c r="R138" s="131">
        <f t="shared" si="23"/>
        <v>10.7</v>
      </c>
      <c r="S138" s="131">
        <f t="shared" si="24"/>
        <v>10.7</v>
      </c>
    </row>
    <row r="139" spans="2:19" customFormat="1" hidden="1" outlineLevel="1" x14ac:dyDescent="0.3">
      <c r="B139" s="34" t="s">
        <v>130</v>
      </c>
      <c r="C139" s="120">
        <v>3675</v>
      </c>
      <c r="D139" s="120">
        <v>3675</v>
      </c>
      <c r="E139" s="120">
        <v>3675</v>
      </c>
      <c r="F139" s="120">
        <v>3675</v>
      </c>
      <c r="G139" s="121">
        <f t="shared" si="19"/>
        <v>3675</v>
      </c>
      <c r="H139" s="121">
        <f t="shared" si="20"/>
        <v>3675</v>
      </c>
      <c r="I139" s="121">
        <f t="shared" si="21"/>
        <v>3675</v>
      </c>
      <c r="L139" s="34" t="s">
        <v>130</v>
      </c>
      <c r="M139" s="120">
        <v>1652.5</v>
      </c>
      <c r="N139" s="120">
        <v>1943</v>
      </c>
      <c r="O139" s="120">
        <v>3670.5</v>
      </c>
      <c r="P139" s="120">
        <v>1472.5</v>
      </c>
      <c r="Q139" s="121">
        <f t="shared" si="22"/>
        <v>2229.625</v>
      </c>
      <c r="R139" s="121">
        <f t="shared" si="23"/>
        <v>1921.5270999326167</v>
      </c>
      <c r="S139" s="121">
        <f t="shared" si="24"/>
        <v>1769.9432157402694</v>
      </c>
    </row>
    <row r="140" spans="2:19" customFormat="1" hidden="1" outlineLevel="1" x14ac:dyDescent="0.3">
      <c r="B140" s="32" t="s">
        <v>147</v>
      </c>
      <c r="C140" s="33"/>
      <c r="D140" s="33"/>
      <c r="E140" s="33"/>
      <c r="F140" s="33"/>
      <c r="G140" s="122">
        <f t="shared" si="19"/>
        <v>0</v>
      </c>
      <c r="H140" s="122">
        <f t="shared" si="20"/>
        <v>0</v>
      </c>
      <c r="I140" s="122">
        <f t="shared" si="21"/>
        <v>0</v>
      </c>
      <c r="L140" s="32" t="s">
        <v>146</v>
      </c>
      <c r="M140" s="33"/>
      <c r="N140" s="33"/>
      <c r="O140" s="33"/>
      <c r="P140" s="33"/>
      <c r="Q140" s="122">
        <f t="shared" si="22"/>
        <v>0</v>
      </c>
      <c r="R140" s="122">
        <f t="shared" si="23"/>
        <v>0</v>
      </c>
      <c r="S140" s="122">
        <f t="shared" si="24"/>
        <v>0</v>
      </c>
    </row>
    <row r="141" spans="2:19" customFormat="1" hidden="1" outlineLevel="1" x14ac:dyDescent="0.3">
      <c r="B141" s="34" t="s">
        <v>129</v>
      </c>
      <c r="C141" s="118">
        <v>0</v>
      </c>
      <c r="D141" s="118">
        <v>0.25</v>
      </c>
      <c r="E141" s="118">
        <v>0.5</v>
      </c>
      <c r="F141" s="118">
        <v>0</v>
      </c>
      <c r="G141" s="119">
        <f t="shared" si="19"/>
        <v>0.1875</v>
      </c>
      <c r="H141" s="119">
        <f t="shared" si="20"/>
        <v>0.111200371454338</v>
      </c>
      <c r="I141" s="119">
        <f t="shared" si="21"/>
        <v>7.3661024205118719E-2</v>
      </c>
      <c r="L141" s="34" t="s">
        <v>129</v>
      </c>
      <c r="M141" s="118">
        <v>0</v>
      </c>
      <c r="N141" s="118">
        <v>0</v>
      </c>
      <c r="O141" s="118">
        <v>0</v>
      </c>
      <c r="P141" s="118">
        <v>0</v>
      </c>
      <c r="Q141" s="119">
        <f t="shared" si="22"/>
        <v>0</v>
      </c>
      <c r="R141" s="119">
        <f t="shared" si="23"/>
        <v>0</v>
      </c>
      <c r="S141" s="119">
        <f t="shared" si="24"/>
        <v>0</v>
      </c>
    </row>
    <row r="142" spans="2:19" customFormat="1" hidden="1" outlineLevel="1" x14ac:dyDescent="0.3">
      <c r="B142" s="34" t="s">
        <v>145</v>
      </c>
      <c r="C142" s="132">
        <v>13.98</v>
      </c>
      <c r="D142" s="132">
        <v>13.98</v>
      </c>
      <c r="E142" s="132">
        <v>13.98</v>
      </c>
      <c r="F142" s="132">
        <v>13.98</v>
      </c>
      <c r="G142" s="133">
        <f t="shared" si="19"/>
        <v>13.98</v>
      </c>
      <c r="H142" s="133">
        <f t="shared" si="20"/>
        <v>13.98</v>
      </c>
      <c r="I142" s="133">
        <f t="shared" si="21"/>
        <v>13.98</v>
      </c>
      <c r="L142" s="34" t="s">
        <v>145</v>
      </c>
      <c r="M142" s="130">
        <v>18</v>
      </c>
      <c r="N142" s="130">
        <v>18</v>
      </c>
      <c r="O142" s="130">
        <v>18</v>
      </c>
      <c r="P142" s="130">
        <v>18</v>
      </c>
      <c r="Q142" s="131">
        <f t="shared" si="22"/>
        <v>18</v>
      </c>
      <c r="R142" s="131">
        <f t="shared" si="23"/>
        <v>18</v>
      </c>
      <c r="S142" s="131">
        <f t="shared" si="24"/>
        <v>18</v>
      </c>
    </row>
    <row r="143" spans="2:19" customFormat="1" hidden="1" outlineLevel="1" x14ac:dyDescent="0.3">
      <c r="B143" s="34" t="s">
        <v>130</v>
      </c>
      <c r="C143" s="120">
        <v>2068.2602304315728</v>
      </c>
      <c r="D143" s="120">
        <v>2445.5</v>
      </c>
      <c r="E143" s="120">
        <v>4621</v>
      </c>
      <c r="F143" s="120">
        <v>1853.6294518018815</v>
      </c>
      <c r="G143" s="121">
        <f t="shared" si="19"/>
        <v>2800.7551152157866</v>
      </c>
      <c r="H143" s="121">
        <f t="shared" si="20"/>
        <v>2415.3399882582153</v>
      </c>
      <c r="I143" s="121">
        <f t="shared" si="21"/>
        <v>2225.7160993646589</v>
      </c>
      <c r="L143" s="34" t="s">
        <v>130</v>
      </c>
      <c r="M143" s="120">
        <v>3361</v>
      </c>
      <c r="N143" s="120">
        <v>3361</v>
      </c>
      <c r="O143" s="120">
        <v>3361</v>
      </c>
      <c r="P143" s="120">
        <v>3361</v>
      </c>
      <c r="Q143" s="121">
        <f t="shared" si="22"/>
        <v>3361</v>
      </c>
      <c r="R143" s="121">
        <f t="shared" si="23"/>
        <v>3361</v>
      </c>
      <c r="S143" s="121">
        <f t="shared" si="24"/>
        <v>3361</v>
      </c>
    </row>
    <row r="144" spans="2:19" customFormat="1" hidden="1" outlineLevel="1" x14ac:dyDescent="0.3">
      <c r="B144" s="34" t="s">
        <v>148</v>
      </c>
      <c r="C144" s="120">
        <v>0</v>
      </c>
      <c r="D144" s="120">
        <v>1222.75</v>
      </c>
      <c r="E144" s="120">
        <v>4621</v>
      </c>
      <c r="F144" s="120">
        <v>0</v>
      </c>
      <c r="G144" s="121">
        <f t="shared" si="19"/>
        <v>1460.9375</v>
      </c>
      <c r="H144" s="121">
        <f t="shared" si="20"/>
        <v>866.43622758171693</v>
      </c>
      <c r="I144" s="121">
        <f t="shared" si="21"/>
        <v>573.94214693155004</v>
      </c>
      <c r="L144" s="32" t="s">
        <v>147</v>
      </c>
      <c r="M144" s="33"/>
      <c r="N144" s="33"/>
      <c r="O144" s="33"/>
      <c r="P144" s="33"/>
      <c r="Q144" s="122">
        <f t="shared" si="22"/>
        <v>0</v>
      </c>
      <c r="R144" s="122">
        <f t="shared" si="23"/>
        <v>0</v>
      </c>
      <c r="S144" s="122">
        <f t="shared" si="24"/>
        <v>0</v>
      </c>
    </row>
    <row r="145" spans="2:19" customFormat="1" hidden="1" outlineLevel="1" x14ac:dyDescent="0.3">
      <c r="B145" s="34" t="s">
        <v>149</v>
      </c>
      <c r="C145" s="120">
        <v>0</v>
      </c>
      <c r="D145" s="120">
        <v>1222.75</v>
      </c>
      <c r="E145" s="120">
        <v>4621</v>
      </c>
      <c r="F145" s="120">
        <v>0</v>
      </c>
      <c r="G145" s="121">
        <f t="shared" si="19"/>
        <v>1460.9375</v>
      </c>
      <c r="H145" s="121">
        <f t="shared" si="20"/>
        <v>866.43622758171693</v>
      </c>
      <c r="I145" s="121">
        <f t="shared" si="21"/>
        <v>573.94214693155004</v>
      </c>
      <c r="L145" s="34" t="s">
        <v>129</v>
      </c>
      <c r="M145" s="118">
        <v>0</v>
      </c>
      <c r="N145" s="118">
        <v>0.25</v>
      </c>
      <c r="O145" s="118">
        <v>0.5</v>
      </c>
      <c r="P145" s="118">
        <v>0</v>
      </c>
      <c r="Q145" s="119">
        <f t="shared" si="22"/>
        <v>0.1875</v>
      </c>
      <c r="R145" s="119">
        <f t="shared" si="23"/>
        <v>0.111200371454338</v>
      </c>
      <c r="S145" s="119">
        <f t="shared" si="24"/>
        <v>7.3661024205118719E-2</v>
      </c>
    </row>
    <row r="146" spans="2:19" customFormat="1" hidden="1" outlineLevel="1" x14ac:dyDescent="0.3">
      <c r="B146" s="30" t="s">
        <v>22</v>
      </c>
      <c r="C146" s="31"/>
      <c r="D146" s="31"/>
      <c r="E146" s="31"/>
      <c r="F146" s="31"/>
      <c r="G146" s="127">
        <f t="shared" si="19"/>
        <v>0</v>
      </c>
      <c r="H146" s="127">
        <f t="shared" si="20"/>
        <v>0</v>
      </c>
      <c r="I146" s="127">
        <f t="shared" si="21"/>
        <v>0</v>
      </c>
      <c r="L146" s="34" t="s">
        <v>145</v>
      </c>
      <c r="M146" s="130">
        <v>18</v>
      </c>
      <c r="N146" s="130">
        <v>18</v>
      </c>
      <c r="O146" s="130">
        <v>18</v>
      </c>
      <c r="P146" s="130">
        <v>18</v>
      </c>
      <c r="Q146" s="131">
        <f t="shared" si="22"/>
        <v>18</v>
      </c>
      <c r="R146" s="131">
        <f t="shared" si="23"/>
        <v>18</v>
      </c>
      <c r="S146" s="131">
        <f t="shared" si="24"/>
        <v>18</v>
      </c>
    </row>
    <row r="147" spans="2:19" customFormat="1" hidden="1" outlineLevel="1" x14ac:dyDescent="0.3">
      <c r="B147" s="32" t="s">
        <v>152</v>
      </c>
      <c r="C147" s="33"/>
      <c r="D147" s="33"/>
      <c r="E147" s="33"/>
      <c r="F147" s="33"/>
      <c r="G147" s="122">
        <f t="shared" si="19"/>
        <v>0</v>
      </c>
      <c r="H147" s="122">
        <f t="shared" si="20"/>
        <v>0</v>
      </c>
      <c r="I147" s="122">
        <f t="shared" si="21"/>
        <v>0</v>
      </c>
      <c r="L147" s="34" t="s">
        <v>130</v>
      </c>
      <c r="M147" s="120">
        <v>1652.5</v>
      </c>
      <c r="N147" s="120">
        <v>1943</v>
      </c>
      <c r="O147" s="120">
        <v>3670.5</v>
      </c>
      <c r="P147" s="120">
        <v>1472.5</v>
      </c>
      <c r="Q147" s="121">
        <f t="shared" si="22"/>
        <v>2229.625</v>
      </c>
      <c r="R147" s="121">
        <f t="shared" si="23"/>
        <v>1921.5270999326167</v>
      </c>
      <c r="S147" s="121">
        <f t="shared" si="24"/>
        <v>1769.9432157402694</v>
      </c>
    </row>
    <row r="148" spans="2:19" customFormat="1" hidden="1" outlineLevel="1" x14ac:dyDescent="0.3">
      <c r="B148" s="34" t="s">
        <v>129</v>
      </c>
      <c r="C148" s="118">
        <v>1</v>
      </c>
      <c r="D148" s="118">
        <v>0.8</v>
      </c>
      <c r="E148" s="118">
        <v>0.85</v>
      </c>
      <c r="F148" s="118">
        <v>1</v>
      </c>
      <c r="G148" s="119">
        <f t="shared" si="19"/>
        <v>0.91249999999999998</v>
      </c>
      <c r="H148" s="119">
        <f t="shared" si="20"/>
        <v>0.94810649332130892</v>
      </c>
      <c r="I148" s="119">
        <f t="shared" si="21"/>
        <v>0.96562485537094467</v>
      </c>
      <c r="L148" s="34" t="s">
        <v>149</v>
      </c>
      <c r="M148" s="120">
        <v>0</v>
      </c>
      <c r="N148" s="120">
        <v>971.5</v>
      </c>
      <c r="O148" s="120">
        <v>3670.5</v>
      </c>
      <c r="P148" s="120">
        <v>0</v>
      </c>
      <c r="Q148" s="121">
        <f t="shared" si="22"/>
        <v>1160.5</v>
      </c>
      <c r="R148" s="121">
        <f t="shared" si="23"/>
        <v>688.25616572138267</v>
      </c>
      <c r="S148" s="121">
        <f t="shared" si="24"/>
        <v>455.91263248021477</v>
      </c>
    </row>
    <row r="149" spans="2:19" customFormat="1" hidden="1" outlineLevel="1" x14ac:dyDescent="0.3">
      <c r="B149" s="34" t="s">
        <v>130</v>
      </c>
      <c r="C149" s="120">
        <v>2771.5666666666666</v>
      </c>
      <c r="D149" s="120">
        <v>2771.5666666666666</v>
      </c>
      <c r="E149" s="120">
        <v>2771.5666666666666</v>
      </c>
      <c r="F149" s="120">
        <v>2771.5666666666666</v>
      </c>
      <c r="G149" s="121">
        <f t="shared" si="19"/>
        <v>2771.5666666666666</v>
      </c>
      <c r="H149" s="121">
        <f t="shared" si="20"/>
        <v>2771.5666666666666</v>
      </c>
      <c r="I149" s="121">
        <f t="shared" si="21"/>
        <v>2771.5666666666666</v>
      </c>
      <c r="L149" s="32" t="s">
        <v>150</v>
      </c>
      <c r="M149" s="125">
        <v>0</v>
      </c>
      <c r="N149" s="125">
        <v>251.25</v>
      </c>
      <c r="O149" s="125">
        <v>950.5</v>
      </c>
      <c r="P149" s="125">
        <v>0</v>
      </c>
      <c r="Q149" s="126">
        <f t="shared" si="22"/>
        <v>300.4375</v>
      </c>
      <c r="R149" s="126">
        <f t="shared" si="23"/>
        <v>178.18006186033426</v>
      </c>
      <c r="S149" s="126">
        <f t="shared" si="24"/>
        <v>118.02951445133522</v>
      </c>
    </row>
    <row r="150" spans="2:19" customFormat="1" hidden="1" outlineLevel="1" x14ac:dyDescent="0.3">
      <c r="B150" s="32" t="s">
        <v>153</v>
      </c>
      <c r="C150" s="33"/>
      <c r="D150" s="33"/>
      <c r="E150" s="33"/>
      <c r="F150" s="33"/>
      <c r="G150" s="122">
        <f t="shared" si="19"/>
        <v>0</v>
      </c>
      <c r="H150" s="122">
        <f t="shared" si="20"/>
        <v>0</v>
      </c>
      <c r="I150" s="122">
        <f t="shared" si="21"/>
        <v>0</v>
      </c>
      <c r="L150" s="32" t="s">
        <v>151</v>
      </c>
      <c r="M150" s="128" t="e">
        <v>#DIV/0!</v>
      </c>
      <c r="N150" s="128">
        <v>0.20547945205479451</v>
      </c>
      <c r="O150" s="128">
        <v>0.20569140878597705</v>
      </c>
      <c r="P150" s="128" t="e">
        <v>#DIV/0!</v>
      </c>
      <c r="Q150" s="129" t="e">
        <f t="shared" si="22"/>
        <v>#DIV/0!</v>
      </c>
      <c r="R150" s="129" t="e">
        <f t="shared" si="23"/>
        <v>#DIV/0!</v>
      </c>
      <c r="S150" s="129" t="e">
        <f t="shared" si="24"/>
        <v>#DIV/0!</v>
      </c>
    </row>
    <row r="151" spans="2:19" customFormat="1" hidden="1" outlineLevel="1" x14ac:dyDescent="0.3">
      <c r="B151" s="34" t="s">
        <v>129</v>
      </c>
      <c r="C151" s="118">
        <v>0</v>
      </c>
      <c r="D151" s="118">
        <v>0.2</v>
      </c>
      <c r="E151" s="118">
        <v>0.1</v>
      </c>
      <c r="F151" s="118">
        <v>0</v>
      </c>
      <c r="G151" s="119">
        <f t="shared" si="19"/>
        <v>7.5000000000000011E-2</v>
      </c>
      <c r="H151" s="119">
        <f t="shared" si="20"/>
        <v>4.4480148581735199E-2</v>
      </c>
      <c r="I151" s="119">
        <f t="shared" si="21"/>
        <v>2.9464409682047485E-2</v>
      </c>
      <c r="L151" s="32" t="s">
        <v>136</v>
      </c>
      <c r="M151" s="128">
        <v>0</v>
      </c>
      <c r="N151" s="128">
        <v>2.4220699959384129E-2</v>
      </c>
      <c r="O151" s="128">
        <v>5.6533175827333304E-2</v>
      </c>
      <c r="P151" s="128">
        <v>0</v>
      </c>
      <c r="Q151" s="129">
        <f t="shared" si="22"/>
        <v>2.0188468946679358E-2</v>
      </c>
      <c r="R151" s="129">
        <f t="shared" si="23"/>
        <v>1.19731479784806E-2</v>
      </c>
      <c r="S151" s="129">
        <f t="shared" si="24"/>
        <v>7.9312175986433892E-3</v>
      </c>
    </row>
    <row r="152" spans="2:19" customFormat="1" hidden="1" outlineLevel="1" x14ac:dyDescent="0.3">
      <c r="B152" s="34" t="s">
        <v>130</v>
      </c>
      <c r="C152" s="120">
        <v>1079.9458624494298</v>
      </c>
      <c r="D152" s="120">
        <v>1079.9458624494298</v>
      </c>
      <c r="E152" s="120">
        <v>1079.9458624494298</v>
      </c>
      <c r="F152" s="120">
        <v>1079.9458624494298</v>
      </c>
      <c r="G152" s="121">
        <f t="shared" si="19"/>
        <v>1079.9458624494298</v>
      </c>
      <c r="H152" s="121">
        <f t="shared" si="20"/>
        <v>1079.9458624494298</v>
      </c>
      <c r="I152" s="121">
        <f t="shared" si="21"/>
        <v>1079.9458624494298</v>
      </c>
      <c r="L152" s="30" t="s">
        <v>22</v>
      </c>
      <c r="M152" s="31"/>
      <c r="N152" s="31"/>
      <c r="O152" s="31"/>
      <c r="P152" s="31"/>
      <c r="Q152" s="127">
        <f t="shared" si="22"/>
        <v>0</v>
      </c>
      <c r="R152" s="127">
        <f t="shared" si="23"/>
        <v>0</v>
      </c>
      <c r="S152" s="127">
        <f t="shared" si="24"/>
        <v>0</v>
      </c>
    </row>
    <row r="153" spans="2:19" customFormat="1" hidden="1" outlineLevel="1" x14ac:dyDescent="0.3">
      <c r="B153" s="32" t="s">
        <v>154</v>
      </c>
      <c r="C153" s="125"/>
      <c r="D153" s="125"/>
      <c r="E153" s="125"/>
      <c r="F153" s="125"/>
      <c r="G153" s="126">
        <f t="shared" ref="G153:G184" si="25">C153*$F$86+D153*$F$87+E153*$F$88</f>
        <v>0</v>
      </c>
      <c r="H153" s="126">
        <f t="shared" ref="H153:H184" si="26">C153*$F$86*$C$91/$F$93+D153*$F$87*$C$91/$F$93+E153*$F$88*$C$91/$F$93+F153*$F$89*$F$94/$F$93</f>
        <v>0</v>
      </c>
      <c r="I153" s="126">
        <f t="shared" ref="I153:I184" si="27">C153*$F$86*$C$91/$C$90+D153*$F$87*$C$91/$C$90+E153*$F$88*$C$91/$C$90+F153*$F$89*$C$92/$C$90</f>
        <v>0</v>
      </c>
      <c r="L153" s="32" t="s">
        <v>152</v>
      </c>
      <c r="M153" s="33"/>
      <c r="N153" s="33"/>
      <c r="O153" s="33"/>
      <c r="P153" s="33"/>
      <c r="Q153" s="122">
        <f t="shared" si="22"/>
        <v>0</v>
      </c>
      <c r="R153" s="122">
        <f t="shared" si="23"/>
        <v>0</v>
      </c>
      <c r="S153" s="122">
        <f t="shared" si="24"/>
        <v>0</v>
      </c>
    </row>
    <row r="154" spans="2:19" customFormat="1" hidden="1" outlineLevel="1" x14ac:dyDescent="0.3">
      <c r="B154" s="34" t="s">
        <v>129</v>
      </c>
      <c r="C154" s="118">
        <v>0</v>
      </c>
      <c r="D154" s="118">
        <v>0</v>
      </c>
      <c r="E154" s="118">
        <v>0.05</v>
      </c>
      <c r="F154" s="118">
        <v>0</v>
      </c>
      <c r="G154" s="119">
        <f t="shared" si="25"/>
        <v>1.2500000000000001E-2</v>
      </c>
      <c r="H154" s="119">
        <f t="shared" si="26"/>
        <v>7.413358096955867E-3</v>
      </c>
      <c r="I154" s="119">
        <f t="shared" si="27"/>
        <v>4.9107349470079139E-3</v>
      </c>
      <c r="L154" s="34" t="s">
        <v>129</v>
      </c>
      <c r="M154" s="118">
        <v>0.6</v>
      </c>
      <c r="N154" s="118">
        <v>0.6</v>
      </c>
      <c r="O154" s="118">
        <v>0.6</v>
      </c>
      <c r="P154" s="118">
        <v>0.45</v>
      </c>
      <c r="Q154" s="119">
        <f t="shared" si="22"/>
        <v>0.6</v>
      </c>
      <c r="R154" s="119">
        <f t="shared" si="23"/>
        <v>0.53896029716347038</v>
      </c>
      <c r="S154" s="119">
        <f t="shared" si="24"/>
        <v>0.50892881936409495</v>
      </c>
    </row>
    <row r="155" spans="2:19" customFormat="1" hidden="1" outlineLevel="1" x14ac:dyDescent="0.3">
      <c r="B155" s="34" t="s">
        <v>130</v>
      </c>
      <c r="C155" s="120">
        <v>5290.3012048192768</v>
      </c>
      <c r="D155" s="120">
        <v>5290.3012048192768</v>
      </c>
      <c r="E155" s="120">
        <v>5290.3012048192768</v>
      </c>
      <c r="F155" s="120">
        <v>5290.3012048192768</v>
      </c>
      <c r="G155" s="121">
        <f t="shared" si="25"/>
        <v>5290.3012048192768</v>
      </c>
      <c r="H155" s="121">
        <f t="shared" si="26"/>
        <v>5290.3012048192768</v>
      </c>
      <c r="I155" s="121">
        <f t="shared" si="27"/>
        <v>5290.3012048192759</v>
      </c>
      <c r="L155" s="34" t="s">
        <v>130</v>
      </c>
      <c r="M155" s="120">
        <v>1594.4499999999998</v>
      </c>
      <c r="N155" s="120">
        <v>1594.4499999999998</v>
      </c>
      <c r="O155" s="120">
        <v>1594.4499999999998</v>
      </c>
      <c r="P155" s="120">
        <v>1594.4499999999998</v>
      </c>
      <c r="Q155" s="121">
        <f t="shared" ref="Q155:Q186" si="28">M155*$F$86+N155*$F$87+O155*$F$88</f>
        <v>1594.4499999999998</v>
      </c>
      <c r="R155" s="121">
        <f t="shared" ref="R155:R186" si="29">M155*$F$86*$C$91/$F$93+N155*$F$87*$C$91/$F$93+O155*$F$88*$C$91/$F$93+P155*$F$89*$F$94/$F$93</f>
        <v>1594.4499999999998</v>
      </c>
      <c r="S155" s="121">
        <f t="shared" ref="S155:S186" si="30">M155*$F$86*$C$91/$C$90+N155*$F$87*$C$91/$C$90+O155*$F$88*$C$91/$C$90+P155*$F$89*$C$92/$C$90</f>
        <v>1594.4499999999998</v>
      </c>
    </row>
    <row r="156" spans="2:19" customFormat="1" hidden="1" outlineLevel="1" x14ac:dyDescent="0.3">
      <c r="B156" s="32" t="s">
        <v>155</v>
      </c>
      <c r="C156" s="33"/>
      <c r="D156" s="33"/>
      <c r="E156" s="33"/>
      <c r="F156" s="33"/>
      <c r="G156" s="122">
        <f t="shared" si="25"/>
        <v>0</v>
      </c>
      <c r="H156" s="122">
        <f t="shared" si="26"/>
        <v>0</v>
      </c>
      <c r="I156" s="122">
        <f t="shared" si="27"/>
        <v>0</v>
      </c>
      <c r="L156" s="32" t="s">
        <v>153</v>
      </c>
      <c r="M156" s="33"/>
      <c r="N156" s="33"/>
      <c r="O156" s="33"/>
      <c r="P156" s="33"/>
      <c r="Q156" s="122">
        <f t="shared" si="28"/>
        <v>0</v>
      </c>
      <c r="R156" s="122">
        <f t="shared" si="29"/>
        <v>0</v>
      </c>
      <c r="S156" s="122">
        <f t="shared" si="30"/>
        <v>0</v>
      </c>
    </row>
    <row r="157" spans="2:19" customFormat="1" hidden="1" outlineLevel="1" x14ac:dyDescent="0.3">
      <c r="B157" s="34" t="s">
        <v>129</v>
      </c>
      <c r="C157" s="118">
        <v>0</v>
      </c>
      <c r="D157" s="118">
        <v>0</v>
      </c>
      <c r="E157" s="118">
        <v>0</v>
      </c>
      <c r="F157" s="118">
        <v>0</v>
      </c>
      <c r="G157" s="119">
        <f t="shared" si="25"/>
        <v>0</v>
      </c>
      <c r="H157" s="119">
        <f t="shared" si="26"/>
        <v>0</v>
      </c>
      <c r="I157" s="119">
        <f t="shared" si="27"/>
        <v>0</v>
      </c>
      <c r="L157" s="34" t="s">
        <v>129</v>
      </c>
      <c r="M157" s="118">
        <v>0.2</v>
      </c>
      <c r="N157" s="118">
        <v>0.2</v>
      </c>
      <c r="O157" s="118">
        <v>0.15</v>
      </c>
      <c r="P157" s="118">
        <v>0.05</v>
      </c>
      <c r="Q157" s="119">
        <f t="shared" si="28"/>
        <v>0.18750000000000003</v>
      </c>
      <c r="R157" s="119">
        <f t="shared" si="29"/>
        <v>0.13154693906651455</v>
      </c>
      <c r="S157" s="119">
        <f t="shared" si="30"/>
        <v>0.10401808441708706</v>
      </c>
    </row>
    <row r="158" spans="2:19" customFormat="1" hidden="1" outlineLevel="1" x14ac:dyDescent="0.3">
      <c r="B158" s="34" t="s">
        <v>130</v>
      </c>
      <c r="C158" s="120">
        <v>1664.0094397450041</v>
      </c>
      <c r="D158" s="120">
        <v>1664.0094397450041</v>
      </c>
      <c r="E158" s="120">
        <v>1664.0094397450041</v>
      </c>
      <c r="F158" s="120">
        <v>1664.0094397450041</v>
      </c>
      <c r="G158" s="121">
        <f t="shared" si="25"/>
        <v>1664.0094397450041</v>
      </c>
      <c r="H158" s="121">
        <f t="shared" si="26"/>
        <v>1664.0094397450041</v>
      </c>
      <c r="I158" s="121">
        <f t="shared" si="27"/>
        <v>1664.0094397450039</v>
      </c>
      <c r="L158" s="34" t="s">
        <v>130</v>
      </c>
      <c r="M158" s="120">
        <v>551.86465612357483</v>
      </c>
      <c r="N158" s="120">
        <v>551.86465612357483</v>
      </c>
      <c r="O158" s="120">
        <v>551.86465612357483</v>
      </c>
      <c r="P158" s="120">
        <v>551.86465612357483</v>
      </c>
      <c r="Q158" s="121">
        <f t="shared" si="28"/>
        <v>551.86465612357483</v>
      </c>
      <c r="R158" s="121">
        <f t="shared" si="29"/>
        <v>551.86465612357483</v>
      </c>
      <c r="S158" s="121">
        <f t="shared" si="30"/>
        <v>551.86465612357483</v>
      </c>
    </row>
    <row r="159" spans="2:19" customFormat="1" hidden="1" outlineLevel="1" x14ac:dyDescent="0.3">
      <c r="B159" s="32" t="s">
        <v>156</v>
      </c>
      <c r="C159" s="33"/>
      <c r="D159" s="33"/>
      <c r="E159" s="33"/>
      <c r="F159" s="33"/>
      <c r="G159" s="122">
        <f t="shared" si="25"/>
        <v>0</v>
      </c>
      <c r="H159" s="122">
        <f t="shared" si="26"/>
        <v>0</v>
      </c>
      <c r="I159" s="122">
        <f t="shared" si="27"/>
        <v>0</v>
      </c>
      <c r="L159" s="32" t="s">
        <v>154</v>
      </c>
      <c r="M159" s="46"/>
      <c r="N159" s="46"/>
      <c r="O159" s="46"/>
      <c r="P159" s="46"/>
      <c r="Q159" s="134">
        <f t="shared" si="28"/>
        <v>0</v>
      </c>
      <c r="R159" s="134">
        <f t="shared" si="29"/>
        <v>0</v>
      </c>
      <c r="S159" s="134">
        <f t="shared" si="30"/>
        <v>0</v>
      </c>
    </row>
    <row r="160" spans="2:19" customFormat="1" hidden="1" outlineLevel="1" x14ac:dyDescent="0.3">
      <c r="B160" s="34" t="s">
        <v>129</v>
      </c>
      <c r="C160" s="118">
        <v>0</v>
      </c>
      <c r="D160" s="118">
        <v>0</v>
      </c>
      <c r="E160" s="118">
        <v>0</v>
      </c>
      <c r="F160" s="118">
        <v>0</v>
      </c>
      <c r="G160" s="119">
        <f t="shared" si="25"/>
        <v>0</v>
      </c>
      <c r="H160" s="119">
        <f t="shared" si="26"/>
        <v>0</v>
      </c>
      <c r="I160" s="119">
        <f t="shared" si="27"/>
        <v>0</v>
      </c>
      <c r="L160" s="34" t="s">
        <v>129</v>
      </c>
      <c r="M160" s="118">
        <v>0</v>
      </c>
      <c r="N160" s="118">
        <v>0</v>
      </c>
      <c r="O160" s="118">
        <v>0.05</v>
      </c>
      <c r="P160" s="118">
        <v>0</v>
      </c>
      <c r="Q160" s="119">
        <f t="shared" si="28"/>
        <v>1.2500000000000001E-2</v>
      </c>
      <c r="R160" s="119">
        <f t="shared" si="29"/>
        <v>7.413358096955867E-3</v>
      </c>
      <c r="S160" s="119">
        <f t="shared" si="30"/>
        <v>4.9107349470079139E-3</v>
      </c>
    </row>
    <row r="161" spans="2:19" customFormat="1" hidden="1" outlineLevel="1" x14ac:dyDescent="0.3">
      <c r="B161" s="34" t="s">
        <v>130</v>
      </c>
      <c r="C161" s="120">
        <v>2462</v>
      </c>
      <c r="D161" s="120">
        <v>2462</v>
      </c>
      <c r="E161" s="120">
        <v>2462</v>
      </c>
      <c r="F161" s="120">
        <v>1757.536594336153</v>
      </c>
      <c r="G161" s="121">
        <f t="shared" si="25"/>
        <v>2462</v>
      </c>
      <c r="H161" s="121">
        <f t="shared" si="26"/>
        <v>2175.3317537271278</v>
      </c>
      <c r="I161" s="121">
        <f t="shared" si="27"/>
        <v>2034.2912395426863</v>
      </c>
      <c r="L161" s="34" t="s">
        <v>130</v>
      </c>
      <c r="M161" s="120">
        <v>4435.30303030303</v>
      </c>
      <c r="N161" s="120">
        <v>4435.30303030303</v>
      </c>
      <c r="O161" s="120">
        <v>4435.30303030303</v>
      </c>
      <c r="P161" s="120">
        <v>4435.30303030303</v>
      </c>
      <c r="Q161" s="135">
        <f t="shared" si="28"/>
        <v>4435.30303030303</v>
      </c>
      <c r="R161" s="121">
        <f t="shared" si="29"/>
        <v>4435.30303030303</v>
      </c>
      <c r="S161" s="121">
        <f t="shared" si="30"/>
        <v>4435.30303030303</v>
      </c>
    </row>
    <row r="162" spans="2:19" customFormat="1" hidden="1" outlineLevel="1" x14ac:dyDescent="0.3">
      <c r="B162" s="34" t="s">
        <v>157</v>
      </c>
      <c r="C162" s="120">
        <v>2771.5666666666666</v>
      </c>
      <c r="D162" s="120">
        <v>2433.2425058232193</v>
      </c>
      <c r="E162" s="120">
        <v>2728.3413131525735</v>
      </c>
      <c r="F162" s="120">
        <v>2771.5666666666666</v>
      </c>
      <c r="G162" s="121">
        <f t="shared" si="25"/>
        <v>2676.1792880772814</v>
      </c>
      <c r="H162" s="121">
        <f t="shared" si="26"/>
        <v>2714.9954030336253</v>
      </c>
      <c r="I162" s="121">
        <f t="shared" si="27"/>
        <v>2734.0928959832772</v>
      </c>
      <c r="L162" s="32" t="s">
        <v>155</v>
      </c>
      <c r="M162" s="33"/>
      <c r="N162" s="33"/>
      <c r="O162" s="33"/>
      <c r="P162" s="33"/>
      <c r="Q162" s="122">
        <f t="shared" si="28"/>
        <v>0</v>
      </c>
      <c r="R162" s="122">
        <f t="shared" si="29"/>
        <v>0</v>
      </c>
      <c r="S162" s="122">
        <f t="shared" si="30"/>
        <v>0</v>
      </c>
    </row>
    <row r="163" spans="2:19" customFormat="1" hidden="1" outlineLevel="1" x14ac:dyDescent="0.3">
      <c r="B163" s="34" t="s">
        <v>158</v>
      </c>
      <c r="C163" s="120">
        <v>2771.5666666666666</v>
      </c>
      <c r="D163" s="120">
        <v>2433.2425058232193</v>
      </c>
      <c r="E163" s="120">
        <v>2728.3413131525735</v>
      </c>
      <c r="F163" s="120">
        <v>6242.5548999794355</v>
      </c>
      <c r="G163" s="121">
        <f t="shared" si="25"/>
        <v>2676.1792880772814</v>
      </c>
      <c r="H163" s="121">
        <f t="shared" si="26"/>
        <v>4127.4493384369744</v>
      </c>
      <c r="I163" s="121">
        <f t="shared" si="27"/>
        <v>4841.4728718574643</v>
      </c>
      <c r="L163" s="34" t="s">
        <v>129</v>
      </c>
      <c r="M163" s="118">
        <v>0.2</v>
      </c>
      <c r="N163" s="118">
        <v>0.2</v>
      </c>
      <c r="O163" s="118">
        <v>0.2</v>
      </c>
      <c r="P163" s="118">
        <v>0.5</v>
      </c>
      <c r="Q163" s="119">
        <f t="shared" si="28"/>
        <v>0.2</v>
      </c>
      <c r="R163" s="119">
        <f t="shared" si="29"/>
        <v>0.32207940567305915</v>
      </c>
      <c r="S163" s="119">
        <f t="shared" si="30"/>
        <v>0.38214236127181006</v>
      </c>
    </row>
    <row r="164" spans="2:19" customFormat="1" hidden="1" outlineLevel="1" x14ac:dyDescent="0.3">
      <c r="B164" s="30" t="s">
        <v>159</v>
      </c>
      <c r="C164" s="31"/>
      <c r="D164" s="31"/>
      <c r="E164" s="31"/>
      <c r="F164" s="31"/>
      <c r="G164" s="127">
        <f t="shared" si="25"/>
        <v>0</v>
      </c>
      <c r="H164" s="127">
        <f t="shared" si="26"/>
        <v>0</v>
      </c>
      <c r="I164" s="127">
        <f t="shared" si="27"/>
        <v>0</v>
      </c>
      <c r="L164" s="34" t="s">
        <v>130</v>
      </c>
      <c r="M164" s="120">
        <v>1398.5141596175063</v>
      </c>
      <c r="N164" s="120">
        <v>1398.5141596175063</v>
      </c>
      <c r="O164" s="120">
        <v>1398.5141596175063</v>
      </c>
      <c r="P164" s="120">
        <v>1398.5141596175063</v>
      </c>
      <c r="Q164" s="121">
        <f t="shared" si="28"/>
        <v>1398.5141596175063</v>
      </c>
      <c r="R164" s="121">
        <f t="shared" si="29"/>
        <v>1398.5141596175063</v>
      </c>
      <c r="S164" s="121">
        <f t="shared" si="30"/>
        <v>1398.5141596175063</v>
      </c>
    </row>
    <row r="165" spans="2:19" customFormat="1" hidden="1" outlineLevel="1" x14ac:dyDescent="0.3">
      <c r="B165" s="32" t="s">
        <v>160</v>
      </c>
      <c r="C165" s="33"/>
      <c r="D165" s="33"/>
      <c r="E165" s="33"/>
      <c r="F165" s="33"/>
      <c r="G165" s="122">
        <f t="shared" si="25"/>
        <v>0</v>
      </c>
      <c r="H165" s="122">
        <f t="shared" si="26"/>
        <v>0</v>
      </c>
      <c r="I165" s="122">
        <f t="shared" si="27"/>
        <v>0</v>
      </c>
      <c r="L165" s="32" t="s">
        <v>156</v>
      </c>
      <c r="M165" s="33"/>
      <c r="N165" s="33"/>
      <c r="O165" s="33"/>
      <c r="P165" s="33"/>
      <c r="Q165" s="122">
        <f t="shared" si="28"/>
        <v>0</v>
      </c>
      <c r="R165" s="122">
        <f t="shared" si="29"/>
        <v>0</v>
      </c>
      <c r="S165" s="122">
        <f t="shared" si="30"/>
        <v>0</v>
      </c>
    </row>
    <row r="166" spans="2:19" customFormat="1" hidden="1" outlineLevel="1" x14ac:dyDescent="0.3">
      <c r="B166" s="34" t="s">
        <v>129</v>
      </c>
      <c r="C166" s="118">
        <v>0</v>
      </c>
      <c r="D166" s="118">
        <v>0.35</v>
      </c>
      <c r="E166" s="118">
        <v>1</v>
      </c>
      <c r="F166" s="118">
        <v>0.1</v>
      </c>
      <c r="G166" s="119">
        <f t="shared" si="25"/>
        <v>0.33750000000000002</v>
      </c>
      <c r="H166" s="119">
        <f t="shared" si="26"/>
        <v>0.24085380384216146</v>
      </c>
      <c r="I166" s="119">
        <f t="shared" si="27"/>
        <v>0.19330396399315039</v>
      </c>
      <c r="L166" s="34" t="s">
        <v>129</v>
      </c>
      <c r="M166" s="118">
        <v>0</v>
      </c>
      <c r="N166" s="118">
        <v>0</v>
      </c>
      <c r="O166" s="118">
        <v>0</v>
      </c>
      <c r="P166" s="118">
        <v>0</v>
      </c>
      <c r="Q166" s="119">
        <f t="shared" si="28"/>
        <v>0</v>
      </c>
      <c r="R166" s="119">
        <f t="shared" si="29"/>
        <v>0</v>
      </c>
      <c r="S166" s="119">
        <f t="shared" si="30"/>
        <v>0</v>
      </c>
    </row>
    <row r="167" spans="2:19" customFormat="1" hidden="1" outlineLevel="1" x14ac:dyDescent="0.3">
      <c r="B167" s="34" t="s">
        <v>130</v>
      </c>
      <c r="C167" s="120">
        <v>210.22925925925927</v>
      </c>
      <c r="D167" s="120">
        <v>210.22925925925927</v>
      </c>
      <c r="E167" s="120">
        <v>210.22925925925927</v>
      </c>
      <c r="F167" s="120">
        <v>210.22925925925927</v>
      </c>
      <c r="G167" s="121">
        <f t="shared" si="25"/>
        <v>210.22925925925927</v>
      </c>
      <c r="H167" s="121">
        <f t="shared" si="26"/>
        <v>210.22925925925927</v>
      </c>
      <c r="I167" s="121">
        <f t="shared" si="27"/>
        <v>210.22925925925927</v>
      </c>
      <c r="L167" s="34" t="s">
        <v>130</v>
      </c>
      <c r="M167" s="82">
        <v>2462</v>
      </c>
      <c r="N167" s="82">
        <v>2462</v>
      </c>
      <c r="O167" s="82">
        <v>2462</v>
      </c>
      <c r="P167" s="82">
        <v>1757.536594336153</v>
      </c>
      <c r="Q167" s="136">
        <f t="shared" si="28"/>
        <v>2462</v>
      </c>
      <c r="R167" s="136">
        <f t="shared" si="29"/>
        <v>2175.3317537271278</v>
      </c>
      <c r="S167" s="136">
        <f t="shared" si="30"/>
        <v>2034.2912395426863</v>
      </c>
    </row>
    <row r="168" spans="2:19" customFormat="1" hidden="1" outlineLevel="1" x14ac:dyDescent="0.3">
      <c r="B168" s="32" t="s">
        <v>161</v>
      </c>
      <c r="C168" s="33"/>
      <c r="D168" s="33"/>
      <c r="E168" s="33"/>
      <c r="F168" s="33"/>
      <c r="G168" s="122">
        <f t="shared" si="25"/>
        <v>0</v>
      </c>
      <c r="H168" s="122">
        <f t="shared" si="26"/>
        <v>0</v>
      </c>
      <c r="I168" s="122">
        <f t="shared" si="27"/>
        <v>0</v>
      </c>
      <c r="L168" s="34" t="s">
        <v>158</v>
      </c>
      <c r="M168" s="120">
        <v>1346.7457631482159</v>
      </c>
      <c r="N168" s="120">
        <v>1346.7457631482159</v>
      </c>
      <c r="O168" s="120">
        <v>1319.1525303420374</v>
      </c>
      <c r="P168" s="120">
        <v>3253.1967699454299</v>
      </c>
      <c r="Q168" s="121">
        <f t="shared" si="28"/>
        <v>1339.8474549466714</v>
      </c>
      <c r="R168" s="121">
        <f t="shared" si="29"/>
        <v>2118.449279013349</v>
      </c>
      <c r="S168" s="121">
        <f t="shared" si="30"/>
        <v>2501.5206621855855</v>
      </c>
    </row>
    <row r="169" spans="2:19" customFormat="1" hidden="1" outlineLevel="1" x14ac:dyDescent="0.3">
      <c r="B169" s="34" t="s">
        <v>129</v>
      </c>
      <c r="C169" s="118">
        <v>0.3</v>
      </c>
      <c r="D169" s="118">
        <v>0.3</v>
      </c>
      <c r="E169" s="118">
        <v>0.3</v>
      </c>
      <c r="F169" s="118">
        <v>1</v>
      </c>
      <c r="G169" s="119">
        <f t="shared" si="25"/>
        <v>0.3</v>
      </c>
      <c r="H169" s="119">
        <f t="shared" si="26"/>
        <v>0.58485194657047135</v>
      </c>
      <c r="I169" s="119">
        <f t="shared" si="27"/>
        <v>0.72499884296755679</v>
      </c>
      <c r="L169" s="32" t="s">
        <v>178</v>
      </c>
      <c r="M169" s="125">
        <v>1424.8209035184507</v>
      </c>
      <c r="N169" s="125">
        <v>1086.4967426750034</v>
      </c>
      <c r="O169" s="125">
        <v>1409.1887828105362</v>
      </c>
      <c r="P169" s="125">
        <v>2989.3581300340056</v>
      </c>
      <c r="Q169" s="126">
        <f t="shared" si="28"/>
        <v>1336.3318331306102</v>
      </c>
      <c r="R169" s="126">
        <f t="shared" si="29"/>
        <v>2009.0000594236246</v>
      </c>
      <c r="S169" s="126">
        <f t="shared" si="30"/>
        <v>2339.9522096718788</v>
      </c>
    </row>
    <row r="170" spans="2:19" customFormat="1" hidden="1" outlineLevel="1" x14ac:dyDescent="0.3">
      <c r="B170" s="34" t="s">
        <v>130</v>
      </c>
      <c r="C170" s="120">
        <v>546.52380952380952</v>
      </c>
      <c r="D170" s="120">
        <v>546.52380952380952</v>
      </c>
      <c r="E170" s="120">
        <v>546.52380952380952</v>
      </c>
      <c r="F170" s="120">
        <v>546.52380952380952</v>
      </c>
      <c r="G170" s="121">
        <f t="shared" si="25"/>
        <v>546.52380952380952</v>
      </c>
      <c r="H170" s="121">
        <f t="shared" si="26"/>
        <v>546.52380952380952</v>
      </c>
      <c r="I170" s="121">
        <f t="shared" si="27"/>
        <v>546.52380952380952</v>
      </c>
      <c r="L170" s="32" t="s">
        <v>179</v>
      </c>
      <c r="M170" s="128">
        <v>0.51408501936995343</v>
      </c>
      <c r="N170" s="128">
        <v>0.44652217774217196</v>
      </c>
      <c r="O170" s="128">
        <v>0.51650018127029396</v>
      </c>
      <c r="P170" s="128">
        <v>0.47886773571568481</v>
      </c>
      <c r="Q170" s="129">
        <f t="shared" si="28"/>
        <v>0.49779809943809317</v>
      </c>
      <c r="R170" s="129">
        <f t="shared" si="29"/>
        <v>0.49009474093007166</v>
      </c>
      <c r="S170" s="129">
        <f t="shared" si="30"/>
        <v>0.48630469561098094</v>
      </c>
    </row>
    <row r="171" spans="2:19" customFormat="1" hidden="1" outlineLevel="1" x14ac:dyDescent="0.3">
      <c r="B171" s="32" t="s">
        <v>162</v>
      </c>
      <c r="C171" s="33"/>
      <c r="D171" s="33"/>
      <c r="E171" s="33"/>
      <c r="F171" s="33"/>
      <c r="G171" s="122">
        <f t="shared" si="25"/>
        <v>0</v>
      </c>
      <c r="H171" s="122">
        <f t="shared" si="26"/>
        <v>0</v>
      </c>
      <c r="I171" s="122">
        <f t="shared" si="27"/>
        <v>0</v>
      </c>
      <c r="L171" s="32" t="s">
        <v>136</v>
      </c>
      <c r="M171" s="128">
        <v>0.17843919150447488</v>
      </c>
      <c r="N171" s="128">
        <v>0.10473915069126145</v>
      </c>
      <c r="O171" s="128">
        <v>8.3814747219919869E-2</v>
      </c>
      <c r="P171" s="128">
        <v>0.16248467758973045</v>
      </c>
      <c r="Q171" s="129">
        <f t="shared" si="28"/>
        <v>0.13635807023003277</v>
      </c>
      <c r="R171" s="129">
        <f t="shared" si="29"/>
        <v>0.14698980589245034</v>
      </c>
      <c r="S171" s="129">
        <f t="shared" si="30"/>
        <v>0.15222061008508872</v>
      </c>
    </row>
    <row r="172" spans="2:19" customFormat="1" hidden="1" outlineLevel="1" x14ac:dyDescent="0.3">
      <c r="B172" s="34" t="s">
        <v>129</v>
      </c>
      <c r="C172" s="118">
        <v>0.7</v>
      </c>
      <c r="D172" s="118">
        <v>0.7</v>
      </c>
      <c r="E172" s="118">
        <v>0.7</v>
      </c>
      <c r="F172" s="118">
        <v>0</v>
      </c>
      <c r="G172" s="119">
        <f t="shared" si="25"/>
        <v>0.7</v>
      </c>
      <c r="H172" s="119">
        <f t="shared" si="26"/>
        <v>0.41514805342952854</v>
      </c>
      <c r="I172" s="119">
        <f t="shared" si="27"/>
        <v>0.27500115703244316</v>
      </c>
      <c r="L172" s="30" t="s">
        <v>159</v>
      </c>
      <c r="M172" s="31"/>
      <c r="N172" s="31"/>
      <c r="O172" s="31"/>
      <c r="P172" s="31"/>
      <c r="Q172" s="127">
        <f t="shared" si="28"/>
        <v>0</v>
      </c>
      <c r="R172" s="127">
        <f t="shared" si="29"/>
        <v>0</v>
      </c>
      <c r="S172" s="127">
        <f t="shared" si="30"/>
        <v>0</v>
      </c>
    </row>
    <row r="173" spans="2:19" customFormat="1" hidden="1" outlineLevel="1" x14ac:dyDescent="0.3">
      <c r="B173" s="34" t="s">
        <v>130</v>
      </c>
      <c r="C173" s="120">
        <v>106</v>
      </c>
      <c r="D173" s="120">
        <v>106</v>
      </c>
      <c r="E173" s="120">
        <v>106</v>
      </c>
      <c r="F173" s="120">
        <v>106</v>
      </c>
      <c r="G173" s="121">
        <f t="shared" si="25"/>
        <v>106</v>
      </c>
      <c r="H173" s="121">
        <f t="shared" si="26"/>
        <v>106</v>
      </c>
      <c r="I173" s="121">
        <f t="shared" si="27"/>
        <v>106</v>
      </c>
      <c r="L173" s="32" t="s">
        <v>160</v>
      </c>
      <c r="M173" s="33"/>
      <c r="N173" s="33"/>
      <c r="O173" s="33"/>
      <c r="P173" s="33"/>
      <c r="Q173" s="122">
        <f t="shared" si="28"/>
        <v>0</v>
      </c>
      <c r="R173" s="122">
        <f t="shared" si="29"/>
        <v>0</v>
      </c>
      <c r="S173" s="122">
        <f t="shared" si="30"/>
        <v>0</v>
      </c>
    </row>
    <row r="174" spans="2:19" customFormat="1" hidden="1" outlineLevel="1" x14ac:dyDescent="0.3">
      <c r="B174" s="32" t="s">
        <v>163</v>
      </c>
      <c r="C174" s="33"/>
      <c r="D174" s="33"/>
      <c r="E174" s="33"/>
      <c r="F174" s="33"/>
      <c r="G174" s="122">
        <f t="shared" si="25"/>
        <v>0</v>
      </c>
      <c r="H174" s="122">
        <f t="shared" si="26"/>
        <v>0</v>
      </c>
      <c r="I174" s="122">
        <f t="shared" si="27"/>
        <v>0</v>
      </c>
      <c r="L174" s="34" t="s">
        <v>129</v>
      </c>
      <c r="M174" s="118">
        <v>0</v>
      </c>
      <c r="N174" s="118">
        <v>0.35</v>
      </c>
      <c r="O174" s="118">
        <v>1</v>
      </c>
      <c r="P174" s="118">
        <v>0.1</v>
      </c>
      <c r="Q174" s="119">
        <f t="shared" si="28"/>
        <v>0.33750000000000002</v>
      </c>
      <c r="R174" s="119">
        <f t="shared" si="29"/>
        <v>0.24085380384216146</v>
      </c>
      <c r="S174" s="119">
        <f t="shared" si="30"/>
        <v>0.19330396399315039</v>
      </c>
    </row>
    <row r="175" spans="2:19" customFormat="1" hidden="1" outlineLevel="1" x14ac:dyDescent="0.3">
      <c r="B175" s="34" t="s">
        <v>129</v>
      </c>
      <c r="C175" s="118">
        <v>0.2</v>
      </c>
      <c r="D175" s="118">
        <v>0.45</v>
      </c>
      <c r="E175" s="118">
        <v>1</v>
      </c>
      <c r="F175" s="118">
        <v>0.1</v>
      </c>
      <c r="G175" s="119">
        <f t="shared" si="25"/>
        <v>0.46250000000000002</v>
      </c>
      <c r="H175" s="119">
        <f t="shared" si="26"/>
        <v>0.31498738481172017</v>
      </c>
      <c r="I175" s="119">
        <f t="shared" si="27"/>
        <v>0.24241131346322953</v>
      </c>
      <c r="L175" s="34" t="s">
        <v>130</v>
      </c>
      <c r="M175" s="120">
        <v>147.29500000000002</v>
      </c>
      <c r="N175" s="120">
        <v>147.29500000000002</v>
      </c>
      <c r="O175" s="120">
        <v>147.29500000000002</v>
      </c>
      <c r="P175" s="120">
        <v>147.29500000000002</v>
      </c>
      <c r="Q175" s="121">
        <f t="shared" si="28"/>
        <v>147.29500000000002</v>
      </c>
      <c r="R175" s="121">
        <f t="shared" si="29"/>
        <v>147.29500000000002</v>
      </c>
      <c r="S175" s="121">
        <f t="shared" si="30"/>
        <v>147.29500000000002</v>
      </c>
    </row>
    <row r="176" spans="2:19" customFormat="1" hidden="1" outlineLevel="1" x14ac:dyDescent="0.3">
      <c r="B176" s="34" t="s">
        <v>130</v>
      </c>
      <c r="C176" s="120">
        <v>136.09629629629632</v>
      </c>
      <c r="D176" s="120">
        <v>136.09629629629632</v>
      </c>
      <c r="E176" s="120">
        <v>136.09629629629632</v>
      </c>
      <c r="F176" s="120">
        <v>136.09629629629632</v>
      </c>
      <c r="G176" s="121">
        <f t="shared" si="25"/>
        <v>136.09629629629632</v>
      </c>
      <c r="H176" s="121">
        <f t="shared" si="26"/>
        <v>136.09629629629632</v>
      </c>
      <c r="I176" s="121">
        <f t="shared" si="27"/>
        <v>136.09629629629632</v>
      </c>
      <c r="L176" s="32" t="s">
        <v>180</v>
      </c>
      <c r="M176" s="33"/>
      <c r="N176" s="33"/>
      <c r="O176" s="33"/>
      <c r="P176" s="33"/>
      <c r="Q176" s="122">
        <f t="shared" si="28"/>
        <v>0</v>
      </c>
      <c r="R176" s="122">
        <f t="shared" si="29"/>
        <v>0</v>
      </c>
      <c r="S176" s="122">
        <f t="shared" si="30"/>
        <v>0</v>
      </c>
    </row>
    <row r="177" spans="2:19" customFormat="1" hidden="1" outlineLevel="1" x14ac:dyDescent="0.3">
      <c r="B177" s="32" t="s">
        <v>164</v>
      </c>
      <c r="C177" s="33"/>
      <c r="D177" s="33"/>
      <c r="E177" s="33"/>
      <c r="F177" s="33"/>
      <c r="G177" s="122">
        <f t="shared" si="25"/>
        <v>0</v>
      </c>
      <c r="H177" s="122">
        <f t="shared" si="26"/>
        <v>0</v>
      </c>
      <c r="I177" s="122">
        <f t="shared" si="27"/>
        <v>0</v>
      </c>
      <c r="L177" s="34" t="s">
        <v>129</v>
      </c>
      <c r="M177" s="137">
        <v>0.3</v>
      </c>
      <c r="N177" s="137">
        <v>0.3</v>
      </c>
      <c r="O177" s="137">
        <v>0.3</v>
      </c>
      <c r="P177" s="137">
        <v>1</v>
      </c>
      <c r="Q177" s="138">
        <f t="shared" si="28"/>
        <v>0.3</v>
      </c>
      <c r="R177" s="138">
        <f t="shared" si="29"/>
        <v>0.58485194657047135</v>
      </c>
      <c r="S177" s="138">
        <f t="shared" si="30"/>
        <v>0.72499884296755679</v>
      </c>
    </row>
    <row r="178" spans="2:19" customFormat="1" hidden="1" outlineLevel="1" x14ac:dyDescent="0.3">
      <c r="B178" s="34" t="s">
        <v>129</v>
      </c>
      <c r="C178" s="137">
        <v>0</v>
      </c>
      <c r="D178" s="118">
        <v>0.2</v>
      </c>
      <c r="E178" s="118">
        <v>1</v>
      </c>
      <c r="F178" s="118">
        <v>0</v>
      </c>
      <c r="G178" s="119">
        <f t="shared" si="25"/>
        <v>0.3</v>
      </c>
      <c r="H178" s="119">
        <f t="shared" si="26"/>
        <v>0.17792059432694082</v>
      </c>
      <c r="I178" s="119">
        <f t="shared" si="27"/>
        <v>0.11785763872818994</v>
      </c>
      <c r="L178" s="34" t="s">
        <v>130</v>
      </c>
      <c r="M178" s="120">
        <v>546</v>
      </c>
      <c r="N178" s="120">
        <v>546</v>
      </c>
      <c r="O178" s="120">
        <v>546</v>
      </c>
      <c r="P178" s="120">
        <v>546</v>
      </c>
      <c r="Q178" s="121">
        <f t="shared" si="28"/>
        <v>546</v>
      </c>
      <c r="R178" s="121">
        <f t="shared" si="29"/>
        <v>546</v>
      </c>
      <c r="S178" s="121">
        <f t="shared" si="30"/>
        <v>546</v>
      </c>
    </row>
    <row r="179" spans="2:19" customFormat="1" hidden="1" outlineLevel="1" x14ac:dyDescent="0.3">
      <c r="B179" s="34" t="s">
        <v>130</v>
      </c>
      <c r="C179" s="120">
        <v>567.28041666666672</v>
      </c>
      <c r="D179" s="120">
        <v>567.28041666666672</v>
      </c>
      <c r="E179" s="120">
        <v>567.28041666666672</v>
      </c>
      <c r="F179" s="120">
        <v>567.28041666666672</v>
      </c>
      <c r="G179" s="121">
        <f t="shared" si="25"/>
        <v>567.28041666666672</v>
      </c>
      <c r="H179" s="121">
        <f t="shared" si="26"/>
        <v>567.28041666666672</v>
      </c>
      <c r="I179" s="121">
        <f t="shared" si="27"/>
        <v>567.28041666666672</v>
      </c>
      <c r="L179" s="32" t="s">
        <v>162</v>
      </c>
      <c r="M179" s="33"/>
      <c r="N179" s="33"/>
      <c r="O179" s="33"/>
      <c r="P179" s="33"/>
      <c r="Q179" s="122">
        <f t="shared" si="28"/>
        <v>0</v>
      </c>
      <c r="R179" s="122">
        <f t="shared" si="29"/>
        <v>0</v>
      </c>
      <c r="S179" s="122">
        <f t="shared" si="30"/>
        <v>0</v>
      </c>
    </row>
    <row r="180" spans="2:19" customFormat="1" hidden="1" outlineLevel="1" x14ac:dyDescent="0.3">
      <c r="B180" s="32" t="s">
        <v>165</v>
      </c>
      <c r="C180" s="33"/>
      <c r="D180" s="33"/>
      <c r="E180" s="33"/>
      <c r="F180" s="33"/>
      <c r="G180" s="122">
        <f t="shared" si="25"/>
        <v>0</v>
      </c>
      <c r="H180" s="122">
        <f t="shared" si="26"/>
        <v>0</v>
      </c>
      <c r="I180" s="122">
        <f t="shared" si="27"/>
        <v>0</v>
      </c>
      <c r="L180" s="34" t="s">
        <v>129</v>
      </c>
      <c r="M180" s="137">
        <v>0.7</v>
      </c>
      <c r="N180" s="137">
        <v>0.7</v>
      </c>
      <c r="O180" s="137">
        <v>0.7</v>
      </c>
      <c r="P180" s="137">
        <v>0</v>
      </c>
      <c r="Q180" s="138">
        <f t="shared" si="28"/>
        <v>0.7</v>
      </c>
      <c r="R180" s="138">
        <f t="shared" si="29"/>
        <v>0.41514805342952854</v>
      </c>
      <c r="S180" s="138">
        <f t="shared" si="30"/>
        <v>0.27500115703244316</v>
      </c>
    </row>
    <row r="181" spans="2:19" customFormat="1" hidden="1" outlineLevel="1" x14ac:dyDescent="0.3">
      <c r="B181" s="34" t="s">
        <v>129</v>
      </c>
      <c r="C181" s="118">
        <v>1</v>
      </c>
      <c r="D181" s="118">
        <v>1</v>
      </c>
      <c r="E181" s="118">
        <v>1</v>
      </c>
      <c r="F181" s="118">
        <v>1</v>
      </c>
      <c r="G181" s="119">
        <f t="shared" si="25"/>
        <v>1</v>
      </c>
      <c r="H181" s="119">
        <f t="shared" si="26"/>
        <v>1</v>
      </c>
      <c r="I181" s="119">
        <f t="shared" si="27"/>
        <v>1</v>
      </c>
      <c r="L181" s="34" t="s">
        <v>130</v>
      </c>
      <c r="M181" s="120">
        <v>106</v>
      </c>
      <c r="N181" s="120">
        <v>106</v>
      </c>
      <c r="O181" s="120">
        <v>106</v>
      </c>
      <c r="P181" s="120">
        <v>106</v>
      </c>
      <c r="Q181" s="121">
        <f t="shared" si="28"/>
        <v>106</v>
      </c>
      <c r="R181" s="121">
        <f t="shared" si="29"/>
        <v>106</v>
      </c>
      <c r="S181" s="121">
        <f t="shared" si="30"/>
        <v>106</v>
      </c>
    </row>
    <row r="182" spans="2:19" customFormat="1" hidden="1" outlineLevel="1" x14ac:dyDescent="0.3">
      <c r="B182" s="34" t="s">
        <v>130</v>
      </c>
      <c r="C182" s="120">
        <v>201.10466666666667</v>
      </c>
      <c r="D182" s="120">
        <v>201.10466666666667</v>
      </c>
      <c r="E182" s="120">
        <v>201.10466666666667</v>
      </c>
      <c r="F182" s="120">
        <v>201.10466666666667</v>
      </c>
      <c r="G182" s="121">
        <f t="shared" si="25"/>
        <v>201.10466666666667</v>
      </c>
      <c r="H182" s="121">
        <f t="shared" si="26"/>
        <v>201.10466666666667</v>
      </c>
      <c r="I182" s="121">
        <f t="shared" si="27"/>
        <v>201.10466666666667</v>
      </c>
      <c r="L182" s="32" t="s">
        <v>391</v>
      </c>
      <c r="M182" s="33"/>
      <c r="N182" s="33"/>
      <c r="O182" s="33"/>
      <c r="P182" s="33"/>
      <c r="Q182" s="122">
        <f t="shared" si="28"/>
        <v>0</v>
      </c>
      <c r="R182" s="122">
        <f t="shared" si="29"/>
        <v>0</v>
      </c>
      <c r="S182" s="122">
        <f t="shared" si="30"/>
        <v>0</v>
      </c>
    </row>
    <row r="183" spans="2:19" customFormat="1" hidden="1" outlineLevel="1" x14ac:dyDescent="0.3">
      <c r="B183" s="32" t="s">
        <v>166</v>
      </c>
      <c r="C183" s="33"/>
      <c r="D183" s="33"/>
      <c r="E183" s="33"/>
      <c r="F183" s="33"/>
      <c r="G183" s="122">
        <f t="shared" si="25"/>
        <v>0</v>
      </c>
      <c r="H183" s="122">
        <f t="shared" si="26"/>
        <v>0</v>
      </c>
      <c r="I183" s="122">
        <f t="shared" si="27"/>
        <v>0</v>
      </c>
      <c r="L183" s="34" t="s">
        <v>129</v>
      </c>
      <c r="M183" s="118">
        <v>0.2</v>
      </c>
      <c r="N183" s="118">
        <v>0.45</v>
      </c>
      <c r="O183" s="118">
        <v>1</v>
      </c>
      <c r="P183" s="118">
        <v>0.1</v>
      </c>
      <c r="Q183" s="119">
        <f t="shared" si="28"/>
        <v>0.46250000000000002</v>
      </c>
      <c r="R183" s="119">
        <f t="shared" si="29"/>
        <v>0.31498738481172017</v>
      </c>
      <c r="S183" s="119">
        <f t="shared" si="30"/>
        <v>0.24241131346322953</v>
      </c>
    </row>
    <row r="184" spans="2:19" customFormat="1" hidden="1" outlineLevel="1" x14ac:dyDescent="0.3">
      <c r="B184" s="34" t="s">
        <v>167</v>
      </c>
      <c r="C184" s="139">
        <v>3</v>
      </c>
      <c r="D184" s="139">
        <v>4</v>
      </c>
      <c r="E184" s="139">
        <v>6</v>
      </c>
      <c r="F184" s="139">
        <v>3</v>
      </c>
      <c r="G184" s="140">
        <f t="shared" si="25"/>
        <v>4</v>
      </c>
      <c r="H184" s="140">
        <f t="shared" si="26"/>
        <v>3.5930686477564691</v>
      </c>
      <c r="I184" s="140">
        <f t="shared" si="27"/>
        <v>3.3928587957606329</v>
      </c>
      <c r="L184" s="34" t="s">
        <v>130</v>
      </c>
      <c r="M184" s="120">
        <v>92</v>
      </c>
      <c r="N184" s="120">
        <v>92</v>
      </c>
      <c r="O184" s="120">
        <v>92</v>
      </c>
      <c r="P184" s="120">
        <v>92</v>
      </c>
      <c r="Q184" s="121">
        <f t="shared" si="28"/>
        <v>92</v>
      </c>
      <c r="R184" s="121">
        <f t="shared" si="29"/>
        <v>92</v>
      </c>
      <c r="S184" s="121">
        <f t="shared" si="30"/>
        <v>92</v>
      </c>
    </row>
    <row r="185" spans="2:19" customFormat="1" hidden="1" outlineLevel="1" x14ac:dyDescent="0.3">
      <c r="B185" s="34" t="s">
        <v>130</v>
      </c>
      <c r="C185" s="120">
        <v>445.83333333333337</v>
      </c>
      <c r="D185" s="120">
        <v>445.83333333333337</v>
      </c>
      <c r="E185" s="120">
        <v>445.83333333333337</v>
      </c>
      <c r="F185" s="120">
        <v>445.83333333333337</v>
      </c>
      <c r="G185" s="121">
        <f t="shared" ref="G185:G200" si="31">C185*$F$86+D185*$F$87+E185*$F$88</f>
        <v>445.83333333333337</v>
      </c>
      <c r="H185" s="121">
        <f t="shared" ref="H185:H200" si="32">C185*$F$86*$C$91/$F$93+D185*$F$87*$C$91/$F$93+E185*$F$88*$C$91/$F$93+F185*$F$89*$F$94/$F$93</f>
        <v>445.83333333333337</v>
      </c>
      <c r="I185" s="121">
        <f t="shared" ref="I185:I200" si="33">C185*$F$86*$C$91/$C$90+D185*$F$87*$C$91/$C$90+E185*$F$88*$C$91/$C$90+F185*$F$89*$C$92/$C$90</f>
        <v>445.83333333333337</v>
      </c>
      <c r="L185" s="32" t="s">
        <v>181</v>
      </c>
      <c r="M185" s="33"/>
      <c r="N185" s="33"/>
      <c r="O185" s="33"/>
      <c r="P185" s="33"/>
      <c r="Q185" s="122">
        <f t="shared" si="28"/>
        <v>0</v>
      </c>
      <c r="R185" s="122">
        <f t="shared" si="29"/>
        <v>0</v>
      </c>
      <c r="S185" s="122">
        <f t="shared" si="30"/>
        <v>0</v>
      </c>
    </row>
    <row r="186" spans="2:19" customFormat="1" hidden="1" outlineLevel="1" x14ac:dyDescent="0.3">
      <c r="B186" s="32" t="s">
        <v>168</v>
      </c>
      <c r="C186" s="141"/>
      <c r="D186" s="141"/>
      <c r="E186" s="141"/>
      <c r="F186" s="141"/>
      <c r="G186" s="142">
        <f t="shared" si="31"/>
        <v>0</v>
      </c>
      <c r="H186" s="142">
        <f t="shared" si="32"/>
        <v>0</v>
      </c>
      <c r="I186" s="142">
        <f t="shared" si="33"/>
        <v>0</v>
      </c>
      <c r="L186" s="34" t="s">
        <v>129</v>
      </c>
      <c r="M186" s="137">
        <v>0</v>
      </c>
      <c r="N186" s="118">
        <v>0.2</v>
      </c>
      <c r="O186" s="118">
        <v>1</v>
      </c>
      <c r="P186" s="118">
        <v>0</v>
      </c>
      <c r="Q186" s="119">
        <f t="shared" si="28"/>
        <v>0.3</v>
      </c>
      <c r="R186" s="119">
        <f t="shared" si="29"/>
        <v>0.17792059432694082</v>
      </c>
      <c r="S186" s="119">
        <f t="shared" si="30"/>
        <v>0.11785763872818994</v>
      </c>
    </row>
    <row r="187" spans="2:19" customFormat="1" hidden="1" outlineLevel="1" x14ac:dyDescent="0.3">
      <c r="B187" s="88" t="s">
        <v>169</v>
      </c>
      <c r="C187" s="143">
        <v>4</v>
      </c>
      <c r="D187" s="143">
        <v>5</v>
      </c>
      <c r="E187" s="143">
        <v>5</v>
      </c>
      <c r="F187" s="143">
        <v>4</v>
      </c>
      <c r="G187" s="144">
        <f t="shared" si="31"/>
        <v>4.5</v>
      </c>
      <c r="H187" s="144">
        <f t="shared" si="32"/>
        <v>4.2965343238782339</v>
      </c>
      <c r="I187" s="144">
        <f t="shared" si="33"/>
        <v>4.1964293978803173</v>
      </c>
      <c r="L187" s="34" t="s">
        <v>130</v>
      </c>
      <c r="M187" s="120">
        <v>328</v>
      </c>
      <c r="N187" s="120">
        <v>328</v>
      </c>
      <c r="O187" s="120">
        <v>328</v>
      </c>
      <c r="P187" s="120">
        <v>328</v>
      </c>
      <c r="Q187" s="121">
        <f t="shared" ref="Q187:Q221" si="34">M187*$F$86+N187*$F$87+O187*$F$88</f>
        <v>328</v>
      </c>
      <c r="R187" s="121">
        <f t="shared" ref="R187:R221" si="35">M187*$F$86*$C$91/$F$93+N187*$F$87*$C$91/$F$93+O187*$F$88*$C$91/$F$93+P187*$F$89*$F$94/$F$93</f>
        <v>328</v>
      </c>
      <c r="S187" s="121">
        <f t="shared" ref="S187:S221" si="36">M187*$F$86*$C$91/$C$90+N187*$F$87*$C$91/$C$90+O187*$F$88*$C$91/$C$90+P187*$F$89*$C$92/$C$90</f>
        <v>328</v>
      </c>
    </row>
    <row r="188" spans="2:19" customFormat="1" hidden="1" outlineLevel="1" x14ac:dyDescent="0.3">
      <c r="B188" s="88" t="s">
        <v>130</v>
      </c>
      <c r="C188" s="145">
        <v>387.63</v>
      </c>
      <c r="D188" s="145">
        <v>387.63</v>
      </c>
      <c r="E188" s="145">
        <v>387.63</v>
      </c>
      <c r="F188" s="145">
        <v>387.63</v>
      </c>
      <c r="G188" s="146">
        <f t="shared" si="31"/>
        <v>387.63</v>
      </c>
      <c r="H188" s="146">
        <f t="shared" si="32"/>
        <v>387.63</v>
      </c>
      <c r="I188" s="146">
        <f t="shared" si="33"/>
        <v>387.63</v>
      </c>
      <c r="L188" s="32" t="s">
        <v>165</v>
      </c>
      <c r="M188" s="33"/>
      <c r="N188" s="33"/>
      <c r="O188" s="33"/>
      <c r="P188" s="33"/>
      <c r="Q188" s="122">
        <f t="shared" si="34"/>
        <v>0</v>
      </c>
      <c r="R188" s="122">
        <f t="shared" si="35"/>
        <v>0</v>
      </c>
      <c r="S188" s="122">
        <f t="shared" si="36"/>
        <v>0</v>
      </c>
    </row>
    <row r="189" spans="2:19" customFormat="1" hidden="1" outlineLevel="1" x14ac:dyDescent="0.3">
      <c r="B189" s="88" t="s">
        <v>170</v>
      </c>
      <c r="C189" s="143">
        <v>3</v>
      </c>
      <c r="D189" s="143">
        <v>5</v>
      </c>
      <c r="E189" s="143">
        <v>8</v>
      </c>
      <c r="F189" s="143">
        <v>3</v>
      </c>
      <c r="G189" s="144">
        <f t="shared" si="31"/>
        <v>4.75</v>
      </c>
      <c r="H189" s="144">
        <f t="shared" si="32"/>
        <v>4.0378701335738221</v>
      </c>
      <c r="I189" s="144">
        <f t="shared" si="33"/>
        <v>3.687502892581108</v>
      </c>
      <c r="L189" s="34" t="s">
        <v>129</v>
      </c>
      <c r="M189" s="118">
        <v>1</v>
      </c>
      <c r="N189" s="118">
        <v>1</v>
      </c>
      <c r="O189" s="118">
        <v>1</v>
      </c>
      <c r="P189" s="118">
        <v>1</v>
      </c>
      <c r="Q189" s="119">
        <f t="shared" si="34"/>
        <v>1</v>
      </c>
      <c r="R189" s="119">
        <f t="shared" si="35"/>
        <v>1</v>
      </c>
      <c r="S189" s="119">
        <f t="shared" si="36"/>
        <v>1</v>
      </c>
    </row>
    <row r="190" spans="2:19" customFormat="1" hidden="1" outlineLevel="1" x14ac:dyDescent="0.3">
      <c r="B190" s="88" t="s">
        <v>130</v>
      </c>
      <c r="C190" s="145">
        <v>164.5</v>
      </c>
      <c r="D190" s="145">
        <v>164.5</v>
      </c>
      <c r="E190" s="145">
        <v>164.5</v>
      </c>
      <c r="F190" s="145">
        <v>164.5</v>
      </c>
      <c r="G190" s="146">
        <f t="shared" si="31"/>
        <v>164.5</v>
      </c>
      <c r="H190" s="146">
        <f t="shared" si="32"/>
        <v>164.5</v>
      </c>
      <c r="I190" s="146">
        <f t="shared" si="33"/>
        <v>164.5</v>
      </c>
      <c r="L190" s="34" t="s">
        <v>130</v>
      </c>
      <c r="M190" s="120">
        <v>201.10466666666667</v>
      </c>
      <c r="N190" s="120">
        <v>201.10466666666667</v>
      </c>
      <c r="O190" s="120">
        <v>201.10466666666667</v>
      </c>
      <c r="P190" s="120">
        <v>201.10466666666667</v>
      </c>
      <c r="Q190" s="121">
        <f t="shared" si="34"/>
        <v>201.10466666666667</v>
      </c>
      <c r="R190" s="121">
        <f t="shared" si="35"/>
        <v>201.10466666666667</v>
      </c>
      <c r="S190" s="121">
        <f t="shared" si="36"/>
        <v>201.10466666666667</v>
      </c>
    </row>
    <row r="191" spans="2:19" customFormat="1" hidden="1" outlineLevel="1" x14ac:dyDescent="0.3">
      <c r="B191" s="34" t="s">
        <v>171</v>
      </c>
      <c r="C191" s="120">
        <v>3848.0010687830691</v>
      </c>
      <c r="D191" s="120">
        <v>5231.5248002645512</v>
      </c>
      <c r="E191" s="120">
        <v>7282.0177817460317</v>
      </c>
      <c r="F191" s="120">
        <v>4163.7810317460317</v>
      </c>
      <c r="G191" s="121">
        <f t="shared" si="31"/>
        <v>5052.3861798941798</v>
      </c>
      <c r="H191" s="121">
        <f t="shared" si="32"/>
        <v>4690.7848853476908</v>
      </c>
      <c r="I191" s="121">
        <f t="shared" si="33"/>
        <v>4512.877380154212</v>
      </c>
      <c r="L191" s="32" t="s">
        <v>166</v>
      </c>
      <c r="M191" s="33"/>
      <c r="N191" s="33"/>
      <c r="O191" s="33"/>
      <c r="P191" s="33"/>
      <c r="Q191" s="122">
        <f t="shared" si="34"/>
        <v>0</v>
      </c>
      <c r="R191" s="122">
        <f t="shared" si="35"/>
        <v>0</v>
      </c>
      <c r="S191" s="122">
        <f t="shared" si="36"/>
        <v>0</v>
      </c>
    </row>
    <row r="192" spans="2:19" customFormat="1" hidden="1" outlineLevel="1" x14ac:dyDescent="0.3">
      <c r="B192" s="34" t="s">
        <v>172</v>
      </c>
      <c r="C192" s="120">
        <v>3848.0010687830691</v>
      </c>
      <c r="D192" s="120">
        <v>5231.5248002645512</v>
      </c>
      <c r="E192" s="120">
        <v>7282.0177817460317</v>
      </c>
      <c r="F192" s="120">
        <v>9378.3173231148285</v>
      </c>
      <c r="G192" s="121">
        <f t="shared" si="31"/>
        <v>5052.3861798941798</v>
      </c>
      <c r="H192" s="121">
        <f t="shared" si="32"/>
        <v>6812.743189717361</v>
      </c>
      <c r="I192" s="121">
        <f t="shared" si="33"/>
        <v>7678.8372236457453</v>
      </c>
      <c r="L192" s="34" t="s">
        <v>167</v>
      </c>
      <c r="M192" s="139">
        <v>3</v>
      </c>
      <c r="N192" s="139">
        <v>4</v>
      </c>
      <c r="O192" s="139">
        <v>6</v>
      </c>
      <c r="P192" s="139">
        <v>3</v>
      </c>
      <c r="Q192" s="140">
        <f t="shared" si="34"/>
        <v>4</v>
      </c>
      <c r="R192" s="140">
        <f t="shared" si="35"/>
        <v>3.5930686477564691</v>
      </c>
      <c r="S192" s="140">
        <f t="shared" si="36"/>
        <v>3.3928587957606329</v>
      </c>
    </row>
    <row r="193" spans="2:19" customFormat="1" hidden="1" outlineLevel="1" x14ac:dyDescent="0.3">
      <c r="B193" s="30" t="s">
        <v>20</v>
      </c>
      <c r="C193" s="31"/>
      <c r="D193" s="31"/>
      <c r="E193" s="31"/>
      <c r="F193" s="31"/>
      <c r="G193" s="127">
        <f t="shared" si="31"/>
        <v>0</v>
      </c>
      <c r="H193" s="127">
        <f t="shared" si="32"/>
        <v>0</v>
      </c>
      <c r="I193" s="127">
        <f t="shared" si="33"/>
        <v>0</v>
      </c>
      <c r="L193" s="34" t="s">
        <v>130</v>
      </c>
      <c r="M193" s="120">
        <v>21.099999999999998</v>
      </c>
      <c r="N193" s="120">
        <v>21.099999999999998</v>
      </c>
      <c r="O193" s="120">
        <v>21.099999999999998</v>
      </c>
      <c r="P193" s="120">
        <v>21.099999999999998</v>
      </c>
      <c r="Q193" s="121">
        <f t="shared" si="34"/>
        <v>21.099999999999998</v>
      </c>
      <c r="R193" s="121">
        <f t="shared" si="35"/>
        <v>21.099999999999998</v>
      </c>
      <c r="S193" s="121">
        <f t="shared" si="36"/>
        <v>21.099999999999998</v>
      </c>
    </row>
    <row r="194" spans="2:19" customFormat="1" hidden="1" outlineLevel="1" x14ac:dyDescent="0.3">
      <c r="B194" s="34" t="s">
        <v>173</v>
      </c>
      <c r="C194" s="120">
        <v>567.50199999999995</v>
      </c>
      <c r="D194" s="120">
        <v>688.00066666666669</v>
      </c>
      <c r="E194" s="120">
        <v>1088.4786666666666</v>
      </c>
      <c r="F194" s="120">
        <v>567.50199999999995</v>
      </c>
      <c r="G194" s="121">
        <f t="shared" si="31"/>
        <v>727.87083333333339</v>
      </c>
      <c r="H194" s="121">
        <f t="shared" si="32"/>
        <v>662.61172712728262</v>
      </c>
      <c r="I194" s="121">
        <f t="shared" si="33"/>
        <v>630.50430674087102</v>
      </c>
      <c r="L194" s="32" t="s">
        <v>168</v>
      </c>
      <c r="M194" s="33"/>
      <c r="N194" s="33"/>
      <c r="O194" s="33"/>
      <c r="P194" s="33"/>
      <c r="Q194" s="122">
        <f t="shared" si="34"/>
        <v>0</v>
      </c>
      <c r="R194" s="122">
        <f t="shared" si="35"/>
        <v>0</v>
      </c>
      <c r="S194" s="122">
        <f t="shared" si="36"/>
        <v>0</v>
      </c>
    </row>
    <row r="195" spans="2:19" customFormat="1" hidden="1" outlineLevel="1" x14ac:dyDescent="0.3">
      <c r="B195" s="34" t="s">
        <v>174</v>
      </c>
      <c r="C195" s="120">
        <v>567.50199999999995</v>
      </c>
      <c r="D195" s="120">
        <v>688.00066666666669</v>
      </c>
      <c r="E195" s="120">
        <v>1088.4786666666666</v>
      </c>
      <c r="F195" s="120">
        <v>1278.2165529176505</v>
      </c>
      <c r="G195" s="121">
        <f t="shared" si="31"/>
        <v>727.87083333333339</v>
      </c>
      <c r="H195" s="121">
        <f t="shared" si="32"/>
        <v>951.82376120521849</v>
      </c>
      <c r="I195" s="121">
        <f t="shared" si="33"/>
        <v>1062.0083962697365</v>
      </c>
      <c r="L195" s="88" t="s">
        <v>169</v>
      </c>
      <c r="M195" s="143">
        <v>4</v>
      </c>
      <c r="N195" s="143">
        <v>5</v>
      </c>
      <c r="O195" s="143">
        <v>5</v>
      </c>
      <c r="P195" s="143">
        <v>4</v>
      </c>
      <c r="Q195" s="144">
        <f t="shared" si="34"/>
        <v>4.5</v>
      </c>
      <c r="R195" s="140">
        <f t="shared" si="35"/>
        <v>4.2965343238782339</v>
      </c>
      <c r="S195" s="140">
        <f t="shared" si="36"/>
        <v>4.1964293978803173</v>
      </c>
    </row>
    <row r="196" spans="2:19" customFormat="1" hidden="1" outlineLevel="1" x14ac:dyDescent="0.3">
      <c r="B196" s="30" t="s">
        <v>175</v>
      </c>
      <c r="C196" s="31"/>
      <c r="D196" s="31"/>
      <c r="E196" s="31"/>
      <c r="F196" s="31"/>
      <c r="G196" s="127">
        <f t="shared" si="31"/>
        <v>0</v>
      </c>
      <c r="H196" s="127">
        <f t="shared" si="32"/>
        <v>0</v>
      </c>
      <c r="I196" s="127">
        <f t="shared" si="33"/>
        <v>0</v>
      </c>
      <c r="L196" s="88" t="s">
        <v>130</v>
      </c>
      <c r="M196" s="145">
        <v>227.76</v>
      </c>
      <c r="N196" s="145">
        <v>227.76</v>
      </c>
      <c r="O196" s="145">
        <v>227.76</v>
      </c>
      <c r="P196" s="145">
        <v>227.76</v>
      </c>
      <c r="Q196" s="146">
        <f t="shared" si="34"/>
        <v>227.76</v>
      </c>
      <c r="R196" s="121">
        <f t="shared" si="35"/>
        <v>227.76</v>
      </c>
      <c r="S196" s="121">
        <f t="shared" si="36"/>
        <v>227.76</v>
      </c>
    </row>
    <row r="197" spans="2:19" customFormat="1" hidden="1" outlineLevel="1" x14ac:dyDescent="0.3">
      <c r="B197" s="34" t="s">
        <v>176</v>
      </c>
      <c r="C197" s="147">
        <v>0</v>
      </c>
      <c r="D197" s="147">
        <v>0</v>
      </c>
      <c r="E197" s="147">
        <v>0</v>
      </c>
      <c r="F197" s="147">
        <v>0</v>
      </c>
      <c r="G197" s="148">
        <f t="shared" si="31"/>
        <v>0</v>
      </c>
      <c r="H197" s="148">
        <f t="shared" si="32"/>
        <v>0</v>
      </c>
      <c r="I197" s="148">
        <f t="shared" si="33"/>
        <v>0</v>
      </c>
      <c r="L197" s="88" t="s">
        <v>170</v>
      </c>
      <c r="M197" s="143">
        <v>3</v>
      </c>
      <c r="N197" s="143">
        <v>5</v>
      </c>
      <c r="O197" s="143">
        <v>8</v>
      </c>
      <c r="P197" s="143">
        <v>3</v>
      </c>
      <c r="Q197" s="144">
        <f t="shared" si="34"/>
        <v>4.75</v>
      </c>
      <c r="R197" s="140">
        <f t="shared" si="35"/>
        <v>4.0378701335738221</v>
      </c>
      <c r="S197" s="140">
        <f t="shared" si="36"/>
        <v>3.687502892581108</v>
      </c>
    </row>
    <row r="198" spans="2:19" customFormat="1" hidden="1" outlineLevel="1" x14ac:dyDescent="0.3">
      <c r="B198" s="34" t="s">
        <v>177</v>
      </c>
      <c r="C198" s="120">
        <v>0</v>
      </c>
      <c r="D198" s="120">
        <v>0</v>
      </c>
      <c r="E198" s="120">
        <v>0</v>
      </c>
      <c r="F198" s="120">
        <v>0</v>
      </c>
      <c r="G198" s="121">
        <f t="shared" si="31"/>
        <v>0</v>
      </c>
      <c r="H198" s="121">
        <f t="shared" si="32"/>
        <v>0</v>
      </c>
      <c r="I198" s="121">
        <f t="shared" si="33"/>
        <v>0</v>
      </c>
      <c r="L198" s="88" t="s">
        <v>130</v>
      </c>
      <c r="M198" s="145">
        <v>45</v>
      </c>
      <c r="N198" s="145">
        <v>45</v>
      </c>
      <c r="O198" s="145">
        <v>45</v>
      </c>
      <c r="P198" s="145">
        <v>45</v>
      </c>
      <c r="Q198" s="146">
        <f t="shared" si="34"/>
        <v>45</v>
      </c>
      <c r="R198" s="121">
        <f t="shared" si="35"/>
        <v>45</v>
      </c>
      <c r="S198" s="121">
        <f t="shared" si="36"/>
        <v>45</v>
      </c>
    </row>
    <row r="199" spans="2:19" customFormat="1" hidden="1" outlineLevel="1" x14ac:dyDescent="0.3">
      <c r="B199" s="30" t="s">
        <v>298</v>
      </c>
      <c r="C199" s="149">
        <v>7984.9101058201059</v>
      </c>
      <c r="D199" s="149">
        <v>10373.358343124806</v>
      </c>
      <c r="E199" s="149">
        <v>16813.136465268974</v>
      </c>
      <c r="F199" s="149">
        <v>8168.2400687830686</v>
      </c>
      <c r="G199" s="150">
        <f t="shared" si="31"/>
        <v>10789.078755008497</v>
      </c>
      <c r="H199" s="150">
        <f t="shared" si="32"/>
        <v>9722.5773244106258</v>
      </c>
      <c r="I199" s="150">
        <f t="shared" si="33"/>
        <v>9197.8595989364694</v>
      </c>
      <c r="L199" s="34" t="s">
        <v>172</v>
      </c>
      <c r="M199" s="120">
        <v>1566.8446666666666</v>
      </c>
      <c r="N199" s="120">
        <v>2045.8579166666666</v>
      </c>
      <c r="O199" s="120">
        <v>2631.7996666666668</v>
      </c>
      <c r="P199" s="120">
        <v>4235.2720968596877</v>
      </c>
      <c r="Q199" s="121">
        <f t="shared" si="34"/>
        <v>1952.8367291666666</v>
      </c>
      <c r="R199" s="121">
        <f t="shared" si="35"/>
        <v>2881.631239750448</v>
      </c>
      <c r="S199" s="121">
        <f t="shared" si="36"/>
        <v>3338.5972869063294</v>
      </c>
    </row>
    <row r="200" spans="2:19" customFormat="1" hidden="1" outlineLevel="1" x14ac:dyDescent="0.3">
      <c r="B200" s="44" t="s">
        <v>299</v>
      </c>
      <c r="C200" s="151">
        <v>7984.9101058201059</v>
      </c>
      <c r="D200" s="151">
        <v>10373.358343124806</v>
      </c>
      <c r="E200" s="151">
        <v>16813.136465268974</v>
      </c>
      <c r="F200" s="151">
        <v>18397.784790403784</v>
      </c>
      <c r="G200" s="152">
        <f t="shared" si="31"/>
        <v>10789.078755008497</v>
      </c>
      <c r="H200" s="152">
        <f t="shared" si="32"/>
        <v>13885.299790815414</v>
      </c>
      <c r="I200" s="152">
        <f t="shared" si="33"/>
        <v>15408.637700041731</v>
      </c>
      <c r="L200" s="32" t="s">
        <v>182</v>
      </c>
      <c r="M200" s="125">
        <v>2281.1564021164022</v>
      </c>
      <c r="N200" s="125">
        <v>3185.6668835978844</v>
      </c>
      <c r="O200" s="125">
        <v>4650.2181150793649</v>
      </c>
      <c r="P200" s="125">
        <v>5143.0452262551407</v>
      </c>
      <c r="Q200" s="126">
        <f t="shared" si="34"/>
        <v>3099.5494507275134</v>
      </c>
      <c r="R200" s="126">
        <f t="shared" si="35"/>
        <v>3931.111949966913</v>
      </c>
      <c r="S200" s="126">
        <f t="shared" si="36"/>
        <v>4340.2399367394164</v>
      </c>
    </row>
    <row r="201" spans="2:19" customFormat="1" hidden="1" outlineLevel="1" x14ac:dyDescent="0.3">
      <c r="L201" s="32" t="s">
        <v>183</v>
      </c>
      <c r="M201" s="128">
        <v>0.59281594816131855</v>
      </c>
      <c r="N201" s="128">
        <v>0.60893659214552309</v>
      </c>
      <c r="O201" s="128">
        <v>0.63858922821311315</v>
      </c>
      <c r="P201" s="128">
        <v>0.54839744157291714</v>
      </c>
      <c r="Q201" s="129">
        <f t="shared" si="34"/>
        <v>0.60828942917031825</v>
      </c>
      <c r="R201" s="129">
        <f t="shared" si="35"/>
        <v>0.58391750166875511</v>
      </c>
      <c r="S201" s="129">
        <f t="shared" si="36"/>
        <v>0.57192653569614293</v>
      </c>
    </row>
    <row r="202" spans="2:19" customFormat="1" hidden="1" outlineLevel="1" x14ac:dyDescent="0.3">
      <c r="L202" s="32" t="s">
        <v>136</v>
      </c>
      <c r="M202" s="128">
        <v>0.28568341683066595</v>
      </c>
      <c r="N202" s="128">
        <v>0.3071008229180921</v>
      </c>
      <c r="O202" s="128">
        <v>0.27658242854837684</v>
      </c>
      <c r="P202" s="128">
        <v>0.27954698268553146</v>
      </c>
      <c r="Q202" s="129">
        <f t="shared" si="34"/>
        <v>0.28876252128195024</v>
      </c>
      <c r="R202" s="129">
        <f t="shared" si="35"/>
        <v>0.28501242969925711</v>
      </c>
      <c r="S202" s="129">
        <f t="shared" si="36"/>
        <v>0.28316738808080616</v>
      </c>
    </row>
    <row r="203" spans="2:19" customFormat="1" hidden="1" outlineLevel="1" x14ac:dyDescent="0.3">
      <c r="L203" s="30" t="s">
        <v>20</v>
      </c>
      <c r="M203" s="31"/>
      <c r="N203" s="31"/>
      <c r="O203" s="31"/>
      <c r="P203" s="31"/>
      <c r="Q203" s="127">
        <f t="shared" si="34"/>
        <v>0</v>
      </c>
      <c r="R203" s="127">
        <f t="shared" si="35"/>
        <v>0</v>
      </c>
      <c r="S203" s="127">
        <f t="shared" si="36"/>
        <v>0</v>
      </c>
    </row>
    <row r="204" spans="2:19" customFormat="1" ht="15" hidden="1" outlineLevel="1" thickBot="1" x14ac:dyDescent="0.35">
      <c r="B204" s="89" t="s">
        <v>429</v>
      </c>
      <c r="C204" s="90" t="s">
        <v>434</v>
      </c>
      <c r="D204" t="s">
        <v>431</v>
      </c>
      <c r="E204" t="s">
        <v>432</v>
      </c>
      <c r="F204" t="s">
        <v>433</v>
      </c>
      <c r="L204" s="34" t="s">
        <v>174</v>
      </c>
      <c r="M204" s="120">
        <v>404.27400000000006</v>
      </c>
      <c r="N204" s="120">
        <v>531.48866666666675</v>
      </c>
      <c r="O204" s="120">
        <v>840.86266666666666</v>
      </c>
      <c r="P204" s="120">
        <v>910.56898251324287</v>
      </c>
      <c r="Q204" s="121">
        <f t="shared" si="34"/>
        <v>545.22483333333344</v>
      </c>
      <c r="R204" s="121">
        <f t="shared" si="35"/>
        <v>693.89482199337613</v>
      </c>
      <c r="S204" s="121">
        <f t="shared" si="36"/>
        <v>767.04032002823055</v>
      </c>
    </row>
    <row r="205" spans="2:19" customFormat="1" hidden="1" outlineLevel="1" x14ac:dyDescent="0.3">
      <c r="B205" s="77" t="s">
        <v>125</v>
      </c>
      <c r="C205" s="153">
        <v>19.5</v>
      </c>
      <c r="D205" s="154">
        <f>C205*F86+C206*F87+C207*F88</f>
        <v>31.375</v>
      </c>
      <c r="E205" s="154">
        <f>D205*C91/F93+C208*F94/F93</f>
        <v>26.542690192108072</v>
      </c>
      <c r="F205" s="154">
        <f>D205*C91/C90+C208*C92/C90</f>
        <v>24.165198199657517</v>
      </c>
      <c r="L205" s="32" t="s">
        <v>184</v>
      </c>
      <c r="M205" s="125">
        <v>163.22799999999989</v>
      </c>
      <c r="N205" s="125">
        <v>156.51199999999994</v>
      </c>
      <c r="O205" s="125">
        <v>247.61599999999999</v>
      </c>
      <c r="P205" s="125">
        <v>367.64757040440759</v>
      </c>
      <c r="Q205" s="126">
        <f t="shared" si="34"/>
        <v>182.64599999999993</v>
      </c>
      <c r="R205" s="126">
        <f t="shared" si="35"/>
        <v>257.92893921184225</v>
      </c>
      <c r="S205" s="126">
        <f t="shared" si="36"/>
        <v>294.96807624150597</v>
      </c>
    </row>
    <row r="206" spans="2:19" customFormat="1" hidden="1" outlineLevel="1" x14ac:dyDescent="0.3">
      <c r="B206" s="77" t="s">
        <v>126</v>
      </c>
      <c r="C206" s="153">
        <v>33.5</v>
      </c>
      <c r="D206" s="117">
        <f>60*D205</f>
        <v>1882.5</v>
      </c>
      <c r="E206" s="117">
        <f>60*E205</f>
        <v>1592.5614115264843</v>
      </c>
      <c r="F206" s="117">
        <f>60*F205</f>
        <v>1449.911891979451</v>
      </c>
      <c r="G206" t="s">
        <v>435</v>
      </c>
      <c r="L206" s="32" t="s">
        <v>185</v>
      </c>
      <c r="M206" s="128">
        <v>0.28762541806020053</v>
      </c>
      <c r="N206" s="128">
        <v>0.22748815165876768</v>
      </c>
      <c r="O206" s="128">
        <v>0.22748815165876776</v>
      </c>
      <c r="P206" s="128">
        <v>0.28762541806020048</v>
      </c>
      <c r="Q206" s="129">
        <f t="shared" si="34"/>
        <v>0.25755678485948413</v>
      </c>
      <c r="R206" s="129">
        <f t="shared" si="35"/>
        <v>0.26979265442796635</v>
      </c>
      <c r="S206" s="129">
        <f t="shared" si="36"/>
        <v>0.27581269103079886</v>
      </c>
    </row>
    <row r="207" spans="2:19" customFormat="1" hidden="1" outlineLevel="1" x14ac:dyDescent="0.3">
      <c r="B207" s="77" t="s">
        <v>127</v>
      </c>
      <c r="C207" s="153">
        <v>53</v>
      </c>
      <c r="D207" s="117">
        <f>14*D205</f>
        <v>439.25</v>
      </c>
      <c r="E207" s="117">
        <f>14*E205</f>
        <v>371.59766268951302</v>
      </c>
      <c r="F207" s="117">
        <f>14*F205</f>
        <v>338.31277479520526</v>
      </c>
      <c r="G207" t="s">
        <v>436</v>
      </c>
      <c r="L207" s="32" t="s">
        <v>136</v>
      </c>
      <c r="M207" s="128">
        <v>2.0442058562566028E-2</v>
      </c>
      <c r="N207" s="128">
        <v>1.5087881361365681E-2</v>
      </c>
      <c r="O207" s="128">
        <v>1.4727531684019949E-2</v>
      </c>
      <c r="P207" s="128">
        <v>1.9983252037830728E-2</v>
      </c>
      <c r="Q207" s="129">
        <f t="shared" si="34"/>
        <v>1.7674882542629423E-2</v>
      </c>
      <c r="R207" s="129">
        <f t="shared" si="35"/>
        <v>1.8614230462789406E-2</v>
      </c>
      <c r="S207" s="129">
        <f t="shared" si="36"/>
        <v>1.9076388777775361E-2</v>
      </c>
    </row>
    <row r="208" spans="2:19" customFormat="1" ht="15" hidden="1" outlineLevel="1" thickBot="1" x14ac:dyDescent="0.35">
      <c r="B208" s="91" t="s">
        <v>430</v>
      </c>
      <c r="C208" s="153">
        <v>19.5</v>
      </c>
      <c r="D208" s="117">
        <f>7*D205</f>
        <v>219.625</v>
      </c>
      <c r="E208" s="117">
        <f>7*E205</f>
        <v>185.79883134475651</v>
      </c>
      <c r="F208" s="117">
        <f>7*F205</f>
        <v>169.15638739760263</v>
      </c>
      <c r="G208" t="s">
        <v>437</v>
      </c>
      <c r="L208" s="30" t="s">
        <v>175</v>
      </c>
      <c r="M208" s="31"/>
      <c r="N208" s="31"/>
      <c r="O208" s="31"/>
      <c r="P208" s="31"/>
      <c r="Q208" s="127">
        <f t="shared" si="34"/>
        <v>0</v>
      </c>
      <c r="R208" s="127">
        <f t="shared" si="35"/>
        <v>0</v>
      </c>
      <c r="S208" s="127">
        <f t="shared" si="36"/>
        <v>0</v>
      </c>
    </row>
    <row r="209" spans="2:19" customFormat="1" hidden="1" outlineLevel="1" x14ac:dyDescent="0.3">
      <c r="L209" s="34" t="s">
        <v>177</v>
      </c>
      <c r="M209" s="120">
        <v>0</v>
      </c>
      <c r="N209" s="120">
        <v>-338</v>
      </c>
      <c r="O209" s="120">
        <v>-1318</v>
      </c>
      <c r="P209" s="120">
        <v>0</v>
      </c>
      <c r="Q209" s="121">
        <f t="shared" si="34"/>
        <v>-414</v>
      </c>
      <c r="R209" s="121">
        <f t="shared" si="35"/>
        <v>-245.53042017117832</v>
      </c>
      <c r="S209" s="121">
        <f t="shared" si="36"/>
        <v>-162.6435414449021</v>
      </c>
    </row>
    <row r="210" spans="2:19" customFormat="1" hidden="1" outlineLevel="1" x14ac:dyDescent="0.3">
      <c r="L210" s="32" t="s">
        <v>186</v>
      </c>
      <c r="M210" s="33" t="e">
        <v>#DIV/0!</v>
      </c>
      <c r="N210" s="33" t="e">
        <v>#DIV/0!</v>
      </c>
      <c r="O210" s="33" t="e">
        <v>#DIV/0!</v>
      </c>
      <c r="P210" s="33" t="e">
        <v>#DIV/0!</v>
      </c>
      <c r="Q210" s="122" t="e">
        <f t="shared" si="34"/>
        <v>#DIV/0!</v>
      </c>
      <c r="R210" s="122" t="e">
        <f t="shared" si="35"/>
        <v>#DIV/0!</v>
      </c>
      <c r="S210" s="122" t="e">
        <f t="shared" si="36"/>
        <v>#DIV/0!</v>
      </c>
    </row>
    <row r="211" spans="2:19" customFormat="1" hidden="1" outlineLevel="1" x14ac:dyDescent="0.3">
      <c r="L211" s="32" t="s">
        <v>136</v>
      </c>
      <c r="M211" s="128">
        <v>0</v>
      </c>
      <c r="N211" s="128">
        <v>-3.2583469000086906E-2</v>
      </c>
      <c r="O211" s="128">
        <v>-7.8391084419174431E-2</v>
      </c>
      <c r="P211" s="128">
        <v>0</v>
      </c>
      <c r="Q211" s="129">
        <f t="shared" si="34"/>
        <v>-2.7743638354815334E-2</v>
      </c>
      <c r="R211" s="129">
        <f t="shared" si="35"/>
        <v>-1.6453882082934849E-2</v>
      </c>
      <c r="S211" s="129">
        <f t="shared" si="36"/>
        <v>-1.0899332354091266E-2</v>
      </c>
    </row>
    <row r="212" spans="2:19" customFormat="1" hidden="1" outlineLevel="1" x14ac:dyDescent="0.3">
      <c r="L212" s="30" t="s">
        <v>299</v>
      </c>
      <c r="M212" s="149">
        <v>3885.2037353704382</v>
      </c>
      <c r="N212" s="149">
        <v>5462.9316520371049</v>
      </c>
      <c r="O212" s="149">
        <v>9152.0618081198154</v>
      </c>
      <c r="P212" s="149">
        <v>9501.8601846147576</v>
      </c>
      <c r="Q212" s="150">
        <f t="shared" si="34"/>
        <v>5596.3502327244496</v>
      </c>
      <c r="R212" s="150">
        <f t="shared" si="35"/>
        <v>7185.6246786477386</v>
      </c>
      <c r="S212" s="150">
        <f t="shared" si="36"/>
        <v>7967.5462480839633</v>
      </c>
    </row>
    <row r="213" spans="2:19" customFormat="1" hidden="1" outlineLevel="1" x14ac:dyDescent="0.3">
      <c r="L213" s="30" t="s">
        <v>392</v>
      </c>
      <c r="M213" s="149">
        <v>4099.7063704496677</v>
      </c>
      <c r="N213" s="149">
        <v>5248.4266910877031</v>
      </c>
      <c r="O213" s="149">
        <v>8979.07465714916</v>
      </c>
      <c r="P213" s="149">
        <v>8895.9246057890232</v>
      </c>
      <c r="Q213" s="150">
        <f t="shared" si="34"/>
        <v>5606.7285222840492</v>
      </c>
      <c r="R213" s="150">
        <f t="shared" si="35"/>
        <v>6945.205532338854</v>
      </c>
      <c r="S213" s="150">
        <f t="shared" si="36"/>
        <v>7603.7349934026679</v>
      </c>
    </row>
    <row r="214" spans="2:19" customFormat="1" hidden="1" outlineLevel="1" x14ac:dyDescent="0.3">
      <c r="L214" s="44" t="s">
        <v>393</v>
      </c>
      <c r="M214" s="155">
        <v>0.51343175015351028</v>
      </c>
      <c r="N214" s="155">
        <v>0.4407855720243376</v>
      </c>
      <c r="O214" s="155">
        <v>0.37726896883589206</v>
      </c>
      <c r="P214" s="155">
        <v>0.48353237670380322</v>
      </c>
      <c r="Q214" s="156">
        <f t="shared" si="34"/>
        <v>0.46122951029181258</v>
      </c>
      <c r="R214" s="156">
        <f t="shared" si="35"/>
        <v>0.47030524587975076</v>
      </c>
      <c r="S214" s="156">
        <f t="shared" si="36"/>
        <v>0.47477049946317834</v>
      </c>
    </row>
    <row r="215" spans="2:19" customFormat="1" hidden="1" outlineLevel="1" x14ac:dyDescent="0.3">
      <c r="Q215" s="156">
        <f t="shared" si="34"/>
        <v>0</v>
      </c>
      <c r="R215" s="156">
        <f t="shared" si="35"/>
        <v>0</v>
      </c>
      <c r="S215" s="156">
        <f t="shared" si="36"/>
        <v>0</v>
      </c>
    </row>
    <row r="216" spans="2:19" customFormat="1" hidden="1" outlineLevel="1" x14ac:dyDescent="0.3">
      <c r="L216" s="92" t="s">
        <v>441</v>
      </c>
      <c r="M216" s="93">
        <v>565.43823522013554</v>
      </c>
      <c r="N216" s="93">
        <v>622</v>
      </c>
      <c r="O216" s="93">
        <v>1206</v>
      </c>
      <c r="P216" s="94">
        <v>551.81321750398729</v>
      </c>
      <c r="Q216" s="157">
        <f t="shared" si="34"/>
        <v>739.71911761006777</v>
      </c>
      <c r="R216" s="157">
        <f t="shared" si="35"/>
        <v>663.25431558536275</v>
      </c>
      <c r="S216" s="158">
        <f t="shared" si="36"/>
        <v>625.63370313597989</v>
      </c>
    </row>
    <row r="217" spans="2:19" customFormat="1" hidden="1" outlineLevel="1" x14ac:dyDescent="0.3">
      <c r="L217" s="77" t="s">
        <v>442</v>
      </c>
      <c r="M217" s="95">
        <v>281.12355001733704</v>
      </c>
      <c r="N217" s="95">
        <v>309</v>
      </c>
      <c r="O217" s="95">
        <v>600</v>
      </c>
      <c r="P217" s="96">
        <v>274.34948857113613</v>
      </c>
      <c r="Q217" s="159">
        <f t="shared" si="34"/>
        <v>367.81177500866852</v>
      </c>
      <c r="R217" s="159">
        <f t="shared" si="35"/>
        <v>329.77904040487124</v>
      </c>
      <c r="S217" s="160">
        <f t="shared" si="36"/>
        <v>311.06696987002044</v>
      </c>
    </row>
    <row r="218" spans="2:19" customFormat="1" ht="15" hidden="1" outlineLevel="1" thickBot="1" x14ac:dyDescent="0.35">
      <c r="L218" s="91" t="s">
        <v>443</v>
      </c>
      <c r="M218" s="97">
        <v>481</v>
      </c>
      <c r="N218" s="97">
        <v>676</v>
      </c>
      <c r="O218" s="97">
        <v>1318</v>
      </c>
      <c r="P218" s="98">
        <v>312.25</v>
      </c>
      <c r="Q218" s="161">
        <f t="shared" si="34"/>
        <v>739</v>
      </c>
      <c r="R218" s="161">
        <f t="shared" si="35"/>
        <v>565.34204543007331</v>
      </c>
      <c r="S218" s="162">
        <f t="shared" si="36"/>
        <v>479.90249109085016</v>
      </c>
    </row>
    <row r="219" spans="2:19" customFormat="1" hidden="1" outlineLevel="1" x14ac:dyDescent="0.3">
      <c r="L219" s="77" t="s">
        <v>444</v>
      </c>
      <c r="M219" s="163">
        <v>0</v>
      </c>
      <c r="N219" s="163">
        <v>311</v>
      </c>
      <c r="O219" s="163">
        <v>1206</v>
      </c>
      <c r="P219" s="164">
        <v>0</v>
      </c>
      <c r="Q219" s="165">
        <f t="shared" si="34"/>
        <v>379.25</v>
      </c>
      <c r="R219" s="165">
        <f t="shared" si="35"/>
        <v>224.92128466164098</v>
      </c>
      <c r="S219" s="166">
        <f t="shared" si="36"/>
        <v>148.99169829222012</v>
      </c>
    </row>
    <row r="220" spans="2:19" customFormat="1" hidden="1" outlineLevel="1" x14ac:dyDescent="0.3">
      <c r="L220" s="77" t="s">
        <v>442</v>
      </c>
      <c r="M220" s="163">
        <v>0</v>
      </c>
      <c r="N220" s="163">
        <v>154.5</v>
      </c>
      <c r="O220" s="163">
        <v>600</v>
      </c>
      <c r="P220" s="164">
        <v>0</v>
      </c>
      <c r="Q220" s="165">
        <f t="shared" si="34"/>
        <v>188.625</v>
      </c>
      <c r="R220" s="165">
        <f t="shared" si="35"/>
        <v>111.86757368306402</v>
      </c>
      <c r="S220" s="166">
        <f t="shared" si="36"/>
        <v>74.10299035034943</v>
      </c>
    </row>
    <row r="221" spans="2:19" customFormat="1" ht="15" hidden="1" outlineLevel="1" thickBot="1" x14ac:dyDescent="0.35">
      <c r="L221" s="91" t="s">
        <v>443</v>
      </c>
      <c r="M221" s="167">
        <v>0</v>
      </c>
      <c r="N221" s="167">
        <v>338</v>
      </c>
      <c r="O221" s="167">
        <v>1318</v>
      </c>
      <c r="P221" s="168">
        <v>0</v>
      </c>
      <c r="Q221" s="169">
        <f t="shared" si="34"/>
        <v>414</v>
      </c>
      <c r="R221" s="169">
        <f t="shared" si="35"/>
        <v>245.53042017117832</v>
      </c>
      <c r="S221" s="170">
        <f t="shared" si="36"/>
        <v>162.6435414449021</v>
      </c>
    </row>
    <row r="222" spans="2:19" customFormat="1" ht="23.4" hidden="1" outlineLevel="1" x14ac:dyDescent="0.45">
      <c r="B222" s="99" t="s">
        <v>303</v>
      </c>
    </row>
    <row r="223" spans="2:19" customFormat="1" hidden="1" outlineLevel="1" x14ac:dyDescent="0.3"/>
    <row r="224" spans="2:19" customFormat="1" hidden="1" outlineLevel="1" x14ac:dyDescent="0.3">
      <c r="B224" s="3" t="s">
        <v>303</v>
      </c>
      <c r="C224" t="s">
        <v>306</v>
      </c>
      <c r="D224" t="s">
        <v>307</v>
      </c>
      <c r="E224" t="s">
        <v>308</v>
      </c>
      <c r="F224" t="s">
        <v>381</v>
      </c>
    </row>
    <row r="225" spans="2:9" customFormat="1" hidden="1" outlineLevel="1" x14ac:dyDescent="0.3">
      <c r="B225" t="s">
        <v>304</v>
      </c>
      <c r="C225" s="84">
        <v>6429</v>
      </c>
      <c r="D225" s="84">
        <v>4167</v>
      </c>
      <c r="E225" s="84">
        <v>2261.9</v>
      </c>
      <c r="F225" s="9">
        <v>0.35182765593404886</v>
      </c>
    </row>
    <row r="226" spans="2:9" customFormat="1" hidden="1" outlineLevel="1" x14ac:dyDescent="0.3">
      <c r="B226" t="s">
        <v>305</v>
      </c>
      <c r="C226">
        <v>6429</v>
      </c>
      <c r="D226">
        <v>4054</v>
      </c>
      <c r="E226">
        <v>2374.66</v>
      </c>
      <c r="F226" s="9">
        <v>0.36936693109348262</v>
      </c>
      <c r="H226" t="s">
        <v>310</v>
      </c>
    </row>
    <row r="227" spans="2:9" customFormat="1" hidden="1" outlineLevel="1" x14ac:dyDescent="0.3">
      <c r="B227" t="s">
        <v>309</v>
      </c>
      <c r="C227">
        <v>1548.5865778580001</v>
      </c>
      <c r="D227">
        <v>1416.749760792</v>
      </c>
      <c r="E227">
        <v>131.83681706600009</v>
      </c>
      <c r="F227" s="9">
        <v>8.513364312401335E-2</v>
      </c>
      <c r="H227">
        <v>2.93071E-4</v>
      </c>
    </row>
    <row r="228" spans="2:9" customFormat="1" hidden="1" outlineLevel="1" x14ac:dyDescent="0.3">
      <c r="B228" t="s">
        <v>311</v>
      </c>
      <c r="C228">
        <v>1548.58667457143</v>
      </c>
      <c r="D228">
        <v>1345.1741294782501</v>
      </c>
      <c r="E228">
        <v>203.41254509317992</v>
      </c>
      <c r="F228" s="9">
        <v>0.13135367134001341</v>
      </c>
      <c r="H228">
        <v>694072.57999999973</v>
      </c>
    </row>
    <row r="229" spans="2:9" customFormat="1" hidden="1" outlineLevel="1" x14ac:dyDescent="0.3">
      <c r="B229" t="s">
        <v>312</v>
      </c>
      <c r="C229">
        <v>1548.58667457143</v>
      </c>
      <c r="D229">
        <v>181.44609114361</v>
      </c>
      <c r="E229">
        <v>1367.14058342782</v>
      </c>
      <c r="F229" s="9">
        <v>0.88283116849508925</v>
      </c>
      <c r="H229">
        <v>4664878.42</v>
      </c>
    </row>
    <row r="230" spans="2:9" customFormat="1" hidden="1" outlineLevel="1" x14ac:dyDescent="0.3">
      <c r="B230" t="s">
        <v>313</v>
      </c>
      <c r="C230">
        <v>1548.58667457143</v>
      </c>
      <c r="D230">
        <v>0</v>
      </c>
      <c r="E230">
        <v>1548.58667457143</v>
      </c>
      <c r="F230" s="9">
        <v>1</v>
      </c>
    </row>
    <row r="231" spans="2:9" customFormat="1" hidden="1" outlineLevel="1" x14ac:dyDescent="0.3">
      <c r="B231" t="s">
        <v>314</v>
      </c>
      <c r="C231">
        <v>1345.1741294782501</v>
      </c>
      <c r="D231">
        <v>181.44609114361</v>
      </c>
      <c r="E231">
        <v>1163.7280383346401</v>
      </c>
      <c r="F231" s="9">
        <v>0.86511330602679148</v>
      </c>
    </row>
    <row r="232" spans="2:9" customFormat="1" hidden="1" outlineLevel="1" x14ac:dyDescent="0.3">
      <c r="B232" t="s">
        <v>315</v>
      </c>
      <c r="C232">
        <v>1345.1741294782501</v>
      </c>
      <c r="D232">
        <v>0</v>
      </c>
      <c r="E232">
        <v>1345.1741294782501</v>
      </c>
      <c r="F232" s="9">
        <v>1</v>
      </c>
    </row>
    <row r="233" spans="2:9" customFormat="1" hidden="1" outlineLevel="1" x14ac:dyDescent="0.3">
      <c r="B233" t="s">
        <v>316</v>
      </c>
      <c r="C233">
        <v>1619</v>
      </c>
      <c r="D233">
        <v>509</v>
      </c>
      <c r="E233">
        <v>1110</v>
      </c>
      <c r="F233" s="9">
        <v>0.68560840024706604</v>
      </c>
    </row>
    <row r="234" spans="2:9" customFormat="1" hidden="1" outlineLevel="1" x14ac:dyDescent="0.3">
      <c r="B234" t="s">
        <v>317</v>
      </c>
      <c r="C234">
        <v>1096</v>
      </c>
      <c r="D234">
        <v>415</v>
      </c>
      <c r="E234">
        <v>681</v>
      </c>
      <c r="F234" s="9">
        <v>0.6213503649635036</v>
      </c>
    </row>
    <row r="235" spans="2:9" customFormat="1" hidden="1" outlineLevel="1" x14ac:dyDescent="0.3"/>
    <row r="236" spans="2:9" customFormat="1" ht="23.4" hidden="1" outlineLevel="1" x14ac:dyDescent="0.45">
      <c r="B236" s="99" t="s">
        <v>468</v>
      </c>
    </row>
    <row r="237" spans="2:9" customFormat="1" hidden="1" outlineLevel="1" x14ac:dyDescent="0.3">
      <c r="C237" t="s">
        <v>456</v>
      </c>
      <c r="E237" t="s">
        <v>457</v>
      </c>
    </row>
    <row r="238" spans="2:9" customFormat="1" hidden="1" outlineLevel="1" x14ac:dyDescent="0.3">
      <c r="C238" t="s">
        <v>452</v>
      </c>
      <c r="D238" t="s">
        <v>453</v>
      </c>
      <c r="E238" t="s">
        <v>455</v>
      </c>
      <c r="F238" t="s">
        <v>453</v>
      </c>
      <c r="G238" t="s">
        <v>458</v>
      </c>
    </row>
    <row r="239" spans="2:9" customFormat="1" hidden="1" outlineLevel="1" x14ac:dyDescent="0.3">
      <c r="B239" t="s">
        <v>463</v>
      </c>
      <c r="C239">
        <v>2200</v>
      </c>
      <c r="D239">
        <v>3500</v>
      </c>
      <c r="E239">
        <v>1750</v>
      </c>
      <c r="F239">
        <v>2800</v>
      </c>
      <c r="G239" s="9">
        <f>AVERAGE(C239/$C$246,D239/$D$246)</f>
        <v>0.47777777777777775</v>
      </c>
      <c r="H239" t="s">
        <v>465</v>
      </c>
      <c r="I239" t="s">
        <v>466</v>
      </c>
    </row>
    <row r="240" spans="2:9" customFormat="1" hidden="1" outlineLevel="1" x14ac:dyDescent="0.3">
      <c r="B240" t="s">
        <v>464</v>
      </c>
      <c r="E240">
        <v>1650</v>
      </c>
      <c r="F240">
        <v>2600</v>
      </c>
      <c r="G240" s="9"/>
    </row>
    <row r="241" spans="2:13" customFormat="1" hidden="1" outlineLevel="1" x14ac:dyDescent="0.3">
      <c r="B241" t="s">
        <v>454</v>
      </c>
      <c r="C241">
        <v>800</v>
      </c>
      <c r="D241">
        <v>500</v>
      </c>
      <c r="E241">
        <v>350</v>
      </c>
      <c r="F241">
        <v>50</v>
      </c>
      <c r="G241" s="9">
        <f>AVERAGE(C241/$C$246,D241/$D$246)</f>
        <v>0.12222222222222223</v>
      </c>
    </row>
    <row r="242" spans="2:13" customFormat="1" hidden="1" outlineLevel="1" x14ac:dyDescent="0.3">
      <c r="B242" t="s">
        <v>467</v>
      </c>
      <c r="C242">
        <v>500</v>
      </c>
      <c r="D242">
        <v>1600</v>
      </c>
      <c r="E242">
        <v>125</v>
      </c>
      <c r="F242">
        <v>125</v>
      </c>
      <c r="G242" s="9">
        <f>AVERAGE(C242/$C$246,D242/$D$246)</f>
        <v>0.16222222222222221</v>
      </c>
    </row>
    <row r="243" spans="2:13" customFormat="1" hidden="1" outlineLevel="1" x14ac:dyDescent="0.3">
      <c r="E243">
        <v>600</v>
      </c>
      <c r="F243">
        <v>500</v>
      </c>
      <c r="G243" s="9"/>
    </row>
    <row r="244" spans="2:13" customFormat="1" hidden="1" outlineLevel="1" x14ac:dyDescent="0.3">
      <c r="B244" t="s">
        <v>20</v>
      </c>
      <c r="C244">
        <v>450</v>
      </c>
      <c r="D244">
        <v>200</v>
      </c>
      <c r="E244">
        <v>300</v>
      </c>
      <c r="F244">
        <v>35</v>
      </c>
      <c r="G244" s="9">
        <f>AVERAGE(C244/$C$246,D244/$D$246)</f>
        <v>6.3333333333333339E-2</v>
      </c>
      <c r="H244" t="s">
        <v>459</v>
      </c>
      <c r="I244" t="s">
        <v>460</v>
      </c>
    </row>
    <row r="245" spans="2:13" customFormat="1" hidden="1" outlineLevel="1" x14ac:dyDescent="0.3">
      <c r="B245" t="s">
        <v>8</v>
      </c>
      <c r="C245">
        <v>550</v>
      </c>
      <c r="D245">
        <v>1700</v>
      </c>
      <c r="G245" s="9">
        <f>AVERAGE(C245/$C$246,D245/$D$246)</f>
        <v>0.17444444444444443</v>
      </c>
    </row>
    <row r="246" spans="2:13" customFormat="1" hidden="1" outlineLevel="1" x14ac:dyDescent="0.3">
      <c r="B246" t="s">
        <v>85</v>
      </c>
      <c r="C246">
        <f>SUM(C239:C245)</f>
        <v>4500</v>
      </c>
      <c r="D246">
        <f>SUM(D239:D245)</f>
        <v>7500</v>
      </c>
      <c r="G246" s="9">
        <f>AVERAGE(C246/$C$246,D246/$D$246)</f>
        <v>1</v>
      </c>
      <c r="J246" t="s">
        <v>461</v>
      </c>
      <c r="K246" t="s">
        <v>462</v>
      </c>
      <c r="M246" t="s">
        <v>469</v>
      </c>
    </row>
    <row r="247" spans="2:13" customFormat="1" hidden="1" outlineLevel="1" x14ac:dyDescent="0.3"/>
    <row r="248" spans="2:13" customFormat="1" hidden="1" outlineLevel="1" x14ac:dyDescent="0.3"/>
    <row r="249" spans="2:13" customFormat="1" hidden="1" outlineLevel="1" x14ac:dyDescent="0.3"/>
    <row r="250" spans="2:13" customFormat="1" ht="23.4" hidden="1" outlineLevel="1" x14ac:dyDescent="0.45">
      <c r="B250" s="99" t="s">
        <v>41</v>
      </c>
    </row>
    <row r="251" spans="2:13" customFormat="1" hidden="1" outlineLevel="1" x14ac:dyDescent="0.3">
      <c r="C251" t="s">
        <v>472</v>
      </c>
      <c r="D251" t="s">
        <v>473</v>
      </c>
      <c r="E251" t="s">
        <v>474</v>
      </c>
      <c r="F251" t="s">
        <v>475</v>
      </c>
      <c r="G251" t="s">
        <v>480</v>
      </c>
      <c r="H251" t="s">
        <v>478</v>
      </c>
    </row>
    <row r="252" spans="2:13" customFormat="1" hidden="1" outlineLevel="1" x14ac:dyDescent="0.3">
      <c r="B252" t="s">
        <v>471</v>
      </c>
      <c r="C252">
        <v>10</v>
      </c>
      <c r="D252" s="1">
        <v>0.1</v>
      </c>
      <c r="E252">
        <v>1.5</v>
      </c>
      <c r="F252" s="100">
        <v>50</v>
      </c>
      <c r="G252">
        <v>500</v>
      </c>
    </row>
    <row r="253" spans="2:13" customFormat="1" hidden="1" outlineLevel="1" x14ac:dyDescent="0.3">
      <c r="B253" t="s">
        <v>476</v>
      </c>
      <c r="C253" t="s">
        <v>477</v>
      </c>
      <c r="D253" s="1">
        <v>0.1</v>
      </c>
      <c r="G253">
        <v>172</v>
      </c>
      <c r="H253" t="s">
        <v>479</v>
      </c>
    </row>
    <row r="254" spans="2:13" customFormat="1" hidden="1" outlineLevel="1" x14ac:dyDescent="0.3"/>
    <row r="255" spans="2:13" customFormat="1" hidden="1" outlineLevel="1" x14ac:dyDescent="0.3"/>
    <row r="256" spans="2:13" customFormat="1" ht="23.4" hidden="1" outlineLevel="1" x14ac:dyDescent="0.45">
      <c r="B256" s="99" t="s">
        <v>481</v>
      </c>
    </row>
    <row r="257" spans="2:9" customFormat="1" hidden="1" outlineLevel="1" x14ac:dyDescent="0.3">
      <c r="C257" t="s">
        <v>492</v>
      </c>
      <c r="D257" t="s">
        <v>493</v>
      </c>
      <c r="E257" t="s">
        <v>494</v>
      </c>
      <c r="F257" t="s">
        <v>495</v>
      </c>
      <c r="G257" t="s">
        <v>496</v>
      </c>
      <c r="H257" t="s">
        <v>497</v>
      </c>
      <c r="I257" t="s">
        <v>498</v>
      </c>
    </row>
    <row r="258" spans="2:9" customFormat="1" hidden="1" outlineLevel="1" x14ac:dyDescent="0.3">
      <c r="B258" t="s">
        <v>482</v>
      </c>
      <c r="C258" t="s">
        <v>225</v>
      </c>
      <c r="D258" s="1"/>
    </row>
    <row r="259" spans="2:9" customFormat="1" hidden="1" outlineLevel="1" x14ac:dyDescent="0.3">
      <c r="B259" t="s">
        <v>483</v>
      </c>
      <c r="C259">
        <v>205</v>
      </c>
      <c r="D259" s="102">
        <v>354700000</v>
      </c>
      <c r="E259">
        <v>3170100000</v>
      </c>
      <c r="F259">
        <f>E259/(D259/C259)</f>
        <v>1832.1694389625036</v>
      </c>
      <c r="G259" s="1">
        <v>0.36</v>
      </c>
      <c r="H259" s="1">
        <v>0.71</v>
      </c>
      <c r="I259">
        <v>1498</v>
      </c>
    </row>
    <row r="260" spans="2:9" customFormat="1" hidden="1" outlineLevel="1" x14ac:dyDescent="0.3">
      <c r="B260" t="s">
        <v>484</v>
      </c>
      <c r="C260">
        <v>135</v>
      </c>
      <c r="D260" s="102">
        <v>278900000</v>
      </c>
      <c r="E260">
        <v>2516600000</v>
      </c>
      <c r="F260">
        <f t="shared" ref="F260:F267" si="37">E260/(D260/C260)</f>
        <v>1218.1462889924705</v>
      </c>
      <c r="G260" s="1">
        <v>0.43</v>
      </c>
      <c r="H260" s="1">
        <v>0.43</v>
      </c>
      <c r="I260">
        <v>228</v>
      </c>
    </row>
    <row r="261" spans="2:9" customFormat="1" hidden="1" outlineLevel="1" x14ac:dyDescent="0.3">
      <c r="B261" t="s">
        <v>485</v>
      </c>
      <c r="C261" t="s">
        <v>225</v>
      </c>
      <c r="D261" s="101" t="s">
        <v>385</v>
      </c>
      <c r="E261" t="s">
        <v>385</v>
      </c>
      <c r="F261" t="s">
        <v>385</v>
      </c>
      <c r="G261" t="s">
        <v>385</v>
      </c>
      <c r="H261" t="s">
        <v>385</v>
      </c>
      <c r="I261" t="s">
        <v>385</v>
      </c>
    </row>
    <row r="262" spans="2:9" customFormat="1" hidden="1" outlineLevel="1" x14ac:dyDescent="0.3">
      <c r="B262" t="s">
        <v>486</v>
      </c>
      <c r="C262">
        <v>66</v>
      </c>
      <c r="D262" s="101">
        <v>210000000</v>
      </c>
      <c r="E262">
        <v>1752400000</v>
      </c>
      <c r="F262">
        <f t="shared" si="37"/>
        <v>550.75428571428574</v>
      </c>
      <c r="G262" s="1">
        <v>0.25</v>
      </c>
      <c r="H262" s="1">
        <v>0.32</v>
      </c>
      <c r="I262">
        <v>300</v>
      </c>
    </row>
    <row r="263" spans="2:9" customFormat="1" hidden="1" outlineLevel="1" x14ac:dyDescent="0.3">
      <c r="B263" t="s">
        <v>487</v>
      </c>
      <c r="C263" t="s">
        <v>225</v>
      </c>
      <c r="D263" s="101" t="s">
        <v>385</v>
      </c>
      <c r="E263" t="s">
        <v>385</v>
      </c>
      <c r="F263" t="s">
        <v>385</v>
      </c>
      <c r="G263" t="s">
        <v>385</v>
      </c>
      <c r="H263" t="s">
        <v>385</v>
      </c>
      <c r="I263" t="s">
        <v>385</v>
      </c>
    </row>
    <row r="264" spans="2:9" customFormat="1" hidden="1" outlineLevel="1" x14ac:dyDescent="0.3">
      <c r="B264" t="s">
        <v>488</v>
      </c>
      <c r="C264" t="s">
        <v>225</v>
      </c>
      <c r="D264" s="101" t="s">
        <v>385</v>
      </c>
      <c r="E264" t="s">
        <v>385</v>
      </c>
      <c r="F264" t="s">
        <v>385</v>
      </c>
      <c r="G264" t="s">
        <v>385</v>
      </c>
      <c r="H264" t="s">
        <v>385</v>
      </c>
      <c r="I264" t="s">
        <v>385</v>
      </c>
    </row>
    <row r="265" spans="2:9" customFormat="1" hidden="1" outlineLevel="1" x14ac:dyDescent="0.3">
      <c r="B265" t="s">
        <v>489</v>
      </c>
      <c r="C265">
        <v>112</v>
      </c>
      <c r="D265" s="101">
        <v>116900000</v>
      </c>
      <c r="E265">
        <v>954100000</v>
      </c>
      <c r="F265">
        <f t="shared" si="37"/>
        <v>914.1077844311377</v>
      </c>
      <c r="G265" s="1">
        <v>0.22</v>
      </c>
      <c r="H265" s="1">
        <v>0.68</v>
      </c>
      <c r="I265">
        <v>1795</v>
      </c>
    </row>
    <row r="266" spans="2:9" customFormat="1" hidden="1" outlineLevel="1" x14ac:dyDescent="0.3">
      <c r="B266" t="s">
        <v>490</v>
      </c>
      <c r="C266">
        <v>218</v>
      </c>
      <c r="D266" s="101">
        <v>108600000</v>
      </c>
      <c r="E266">
        <v>974300000</v>
      </c>
      <c r="F266">
        <f t="shared" si="37"/>
        <v>1955.7771639042357</v>
      </c>
      <c r="G266" s="1">
        <v>0.1</v>
      </c>
      <c r="H266" s="1">
        <v>0.1</v>
      </c>
      <c r="I266">
        <v>573</v>
      </c>
    </row>
    <row r="267" spans="2:9" customFormat="1" hidden="1" outlineLevel="1" x14ac:dyDescent="0.3">
      <c r="B267" t="s">
        <v>491</v>
      </c>
      <c r="C267">
        <v>101</v>
      </c>
      <c r="D267" s="101">
        <v>107600000</v>
      </c>
      <c r="E267">
        <v>939600000</v>
      </c>
      <c r="F267">
        <f t="shared" si="37"/>
        <v>881.96654275092942</v>
      </c>
      <c r="G267" s="1">
        <v>0.11</v>
      </c>
      <c r="H267" s="1">
        <v>0.4</v>
      </c>
      <c r="I267">
        <v>1909</v>
      </c>
    </row>
    <row r="268" spans="2:9" customFormat="1" hidden="1" outlineLevel="1" x14ac:dyDescent="0.3"/>
    <row r="269" spans="2:9" customFormat="1" hidden="1" outlineLevel="1" x14ac:dyDescent="0.3"/>
    <row r="270" spans="2:9" customFormat="1" hidden="1" outlineLevel="1" x14ac:dyDescent="0.3"/>
    <row r="271" spans="2:9" customFormat="1" ht="23.4" hidden="1" outlineLevel="1" x14ac:dyDescent="0.45">
      <c r="B271" s="99" t="s">
        <v>320</v>
      </c>
    </row>
    <row r="272" spans="2:9" customFormat="1" hidden="1" outlineLevel="1" x14ac:dyDescent="0.3"/>
    <row r="273" spans="3:13" customFormat="1" hidden="1" outlineLevel="1" x14ac:dyDescent="0.3">
      <c r="C273" t="s">
        <v>319</v>
      </c>
      <c r="D273" t="s">
        <v>328</v>
      </c>
      <c r="E273" t="s">
        <v>329</v>
      </c>
      <c r="F273" t="s">
        <v>330</v>
      </c>
      <c r="G273" t="s">
        <v>331</v>
      </c>
      <c r="H273" t="s">
        <v>332</v>
      </c>
      <c r="I273" t="s">
        <v>333</v>
      </c>
    </row>
    <row r="274" spans="3:13" customFormat="1" hidden="1" outlineLevel="1" x14ac:dyDescent="0.3">
      <c r="C274" t="s">
        <v>325</v>
      </c>
      <c r="D274" t="s">
        <v>326</v>
      </c>
      <c r="E274" t="s">
        <v>327</v>
      </c>
      <c r="F274">
        <v>1</v>
      </c>
      <c r="G274" t="s">
        <v>338</v>
      </c>
      <c r="H274">
        <v>0.75</v>
      </c>
      <c r="I274">
        <v>0</v>
      </c>
    </row>
    <row r="275" spans="3:13" customFormat="1" hidden="1" outlineLevel="1" x14ac:dyDescent="0.3">
      <c r="C275" t="s">
        <v>339</v>
      </c>
      <c r="D275" t="s">
        <v>346</v>
      </c>
      <c r="E275" t="s">
        <v>355</v>
      </c>
      <c r="F275">
        <v>1</v>
      </c>
      <c r="G275" t="s">
        <v>338</v>
      </c>
      <c r="H275">
        <v>0.3</v>
      </c>
      <c r="I275">
        <v>0</v>
      </c>
      <c r="J275" t="s">
        <v>334</v>
      </c>
      <c r="K275" t="s">
        <v>335</v>
      </c>
      <c r="L275" t="s">
        <v>336</v>
      </c>
      <c r="M275" t="s">
        <v>337</v>
      </c>
    </row>
    <row r="276" spans="3:13" customFormat="1" hidden="1" outlineLevel="1" x14ac:dyDescent="0.3">
      <c r="C276" t="s">
        <v>321</v>
      </c>
      <c r="D276" t="s">
        <v>347</v>
      </c>
      <c r="E276" t="s">
        <v>356</v>
      </c>
      <c r="F276">
        <v>1</v>
      </c>
      <c r="G276" t="s">
        <v>357</v>
      </c>
      <c r="H276">
        <v>0.75</v>
      </c>
      <c r="I276">
        <v>1</v>
      </c>
      <c r="J276">
        <v>819.72</v>
      </c>
      <c r="K276">
        <v>5123.45</v>
      </c>
    </row>
    <row r="277" spans="3:13" customFormat="1" hidden="1" outlineLevel="1" x14ac:dyDescent="0.3">
      <c r="C277" t="s">
        <v>322</v>
      </c>
      <c r="D277" t="s">
        <v>348</v>
      </c>
      <c r="E277" t="s">
        <v>356</v>
      </c>
      <c r="F277">
        <v>1</v>
      </c>
      <c r="G277" t="s">
        <v>357</v>
      </c>
      <c r="H277">
        <v>0.75</v>
      </c>
      <c r="I277">
        <v>1</v>
      </c>
      <c r="J277">
        <v>557.77</v>
      </c>
      <c r="K277">
        <v>4843.2299999999996</v>
      </c>
    </row>
    <row r="278" spans="3:13" customFormat="1" hidden="1" outlineLevel="1" x14ac:dyDescent="0.3">
      <c r="C278" t="s">
        <v>340</v>
      </c>
      <c r="D278" t="s">
        <v>346</v>
      </c>
      <c r="E278" t="s">
        <v>355</v>
      </c>
      <c r="F278">
        <v>1</v>
      </c>
      <c r="G278" t="s">
        <v>357</v>
      </c>
      <c r="H278">
        <v>0.3</v>
      </c>
      <c r="I278">
        <v>0</v>
      </c>
      <c r="J278">
        <v>720.2</v>
      </c>
      <c r="K278">
        <v>2882.91</v>
      </c>
    </row>
    <row r="279" spans="3:13" customFormat="1" hidden="1" outlineLevel="1" x14ac:dyDescent="0.3">
      <c r="C279" t="s">
        <v>341</v>
      </c>
      <c r="D279" t="s">
        <v>349</v>
      </c>
      <c r="E279" t="s">
        <v>327</v>
      </c>
      <c r="F279">
        <v>1</v>
      </c>
      <c r="G279" t="s">
        <v>357</v>
      </c>
      <c r="H279">
        <v>0.75</v>
      </c>
      <c r="I279">
        <v>1</v>
      </c>
      <c r="J279">
        <v>713.25</v>
      </c>
      <c r="K279">
        <v>2875.98</v>
      </c>
    </row>
    <row r="280" spans="3:13" customFormat="1" hidden="1" outlineLevel="1" x14ac:dyDescent="0.3">
      <c r="C280" t="s">
        <v>323</v>
      </c>
      <c r="D280" t="s">
        <v>350</v>
      </c>
      <c r="E280" t="s">
        <v>356</v>
      </c>
      <c r="F280">
        <v>1</v>
      </c>
      <c r="G280" t="s">
        <v>357</v>
      </c>
      <c r="H280">
        <v>0.75</v>
      </c>
      <c r="I280">
        <v>1</v>
      </c>
      <c r="J280">
        <v>554.28</v>
      </c>
      <c r="K280">
        <v>2717.01</v>
      </c>
    </row>
    <row r="281" spans="3:13" customFormat="1" hidden="1" outlineLevel="1" x14ac:dyDescent="0.3">
      <c r="C281" t="s">
        <v>342</v>
      </c>
      <c r="D281" t="s">
        <v>351</v>
      </c>
      <c r="E281" t="s">
        <v>327</v>
      </c>
      <c r="F281">
        <v>1</v>
      </c>
      <c r="G281" t="s">
        <v>357</v>
      </c>
      <c r="H281">
        <v>0.75</v>
      </c>
      <c r="I281">
        <v>1</v>
      </c>
      <c r="J281">
        <v>751.21</v>
      </c>
      <c r="K281">
        <v>2913.94</v>
      </c>
    </row>
    <row r="282" spans="3:13" customFormat="1" hidden="1" outlineLevel="1" x14ac:dyDescent="0.3">
      <c r="C282" t="s">
        <v>324</v>
      </c>
      <c r="D282" t="s">
        <v>352</v>
      </c>
      <c r="E282" t="s">
        <v>356</v>
      </c>
      <c r="F282">
        <v>1</v>
      </c>
      <c r="G282" t="s">
        <v>357</v>
      </c>
      <c r="H282">
        <v>0.75</v>
      </c>
      <c r="I282">
        <v>1</v>
      </c>
      <c r="J282">
        <v>651.69000000000005</v>
      </c>
      <c r="K282">
        <v>2814.42</v>
      </c>
    </row>
    <row r="283" spans="3:13" customFormat="1" hidden="1" outlineLevel="1" x14ac:dyDescent="0.3">
      <c r="C283" t="s">
        <v>343</v>
      </c>
      <c r="D283" t="s">
        <v>353</v>
      </c>
      <c r="E283" t="s">
        <v>327</v>
      </c>
      <c r="F283">
        <v>1</v>
      </c>
      <c r="G283" t="s">
        <v>357</v>
      </c>
      <c r="H283">
        <v>0.75</v>
      </c>
      <c r="I283">
        <v>1</v>
      </c>
      <c r="J283">
        <v>803.78</v>
      </c>
      <c r="K283">
        <v>2966.51</v>
      </c>
    </row>
    <row r="284" spans="3:13" customFormat="1" hidden="1" outlineLevel="1" x14ac:dyDescent="0.3">
      <c r="C284" t="s">
        <v>344</v>
      </c>
      <c r="D284" t="s">
        <v>354</v>
      </c>
      <c r="E284" t="s">
        <v>356</v>
      </c>
      <c r="F284">
        <v>1</v>
      </c>
      <c r="G284" t="s">
        <v>357</v>
      </c>
      <c r="H284">
        <v>0.75</v>
      </c>
      <c r="I284">
        <v>1</v>
      </c>
      <c r="J284">
        <v>760.29</v>
      </c>
      <c r="K284">
        <v>2923.02</v>
      </c>
    </row>
    <row r="285" spans="3:13" customFormat="1" hidden="1" outlineLevel="1" x14ac:dyDescent="0.3">
      <c r="C285" t="s">
        <v>345</v>
      </c>
      <c r="D285" t="s">
        <v>326</v>
      </c>
      <c r="E285" t="s">
        <v>327</v>
      </c>
      <c r="F285">
        <v>1</v>
      </c>
      <c r="G285" t="s">
        <v>357</v>
      </c>
      <c r="H285">
        <v>0.75</v>
      </c>
      <c r="I285">
        <v>0</v>
      </c>
      <c r="J285">
        <v>807.98</v>
      </c>
      <c r="K285">
        <v>2970.71</v>
      </c>
    </row>
    <row r="286" spans="3:13" customFormat="1" hidden="1" outlineLevel="1" x14ac:dyDescent="0.3">
      <c r="C286" t="s">
        <v>325</v>
      </c>
      <c r="D286" t="s">
        <v>326</v>
      </c>
      <c r="E286" t="s">
        <v>327</v>
      </c>
      <c r="F286">
        <v>3</v>
      </c>
      <c r="G286" t="s">
        <v>338</v>
      </c>
      <c r="H286">
        <v>0.75</v>
      </c>
      <c r="I286">
        <v>0</v>
      </c>
      <c r="J286">
        <v>709.32</v>
      </c>
      <c r="K286">
        <v>2872.05</v>
      </c>
    </row>
    <row r="287" spans="3:13" customFormat="1" hidden="1" outlineLevel="1" x14ac:dyDescent="0.3">
      <c r="C287" t="s">
        <v>339</v>
      </c>
      <c r="D287" t="s">
        <v>346</v>
      </c>
      <c r="E287" t="s">
        <v>355</v>
      </c>
      <c r="F287">
        <v>3</v>
      </c>
      <c r="G287" t="s">
        <v>338</v>
      </c>
      <c r="H287">
        <v>0.3</v>
      </c>
      <c r="I287">
        <v>0</v>
      </c>
      <c r="J287">
        <v>819.72</v>
      </c>
      <c r="K287">
        <v>2997.23</v>
      </c>
    </row>
    <row r="288" spans="3:13" customFormat="1" hidden="1" outlineLevel="1" x14ac:dyDescent="0.3">
      <c r="C288" t="s">
        <v>321</v>
      </c>
      <c r="D288" t="s">
        <v>347</v>
      </c>
      <c r="E288" t="s">
        <v>356</v>
      </c>
      <c r="F288">
        <v>3</v>
      </c>
      <c r="G288" t="s">
        <v>357</v>
      </c>
      <c r="H288">
        <v>0.75</v>
      </c>
      <c r="I288">
        <v>1</v>
      </c>
      <c r="J288">
        <v>2053.52</v>
      </c>
      <c r="K288">
        <v>6803.25</v>
      </c>
    </row>
    <row r="289" spans="2:11" customFormat="1" hidden="1" outlineLevel="1" x14ac:dyDescent="0.3">
      <c r="C289" t="s">
        <v>322</v>
      </c>
      <c r="D289" t="s">
        <v>348</v>
      </c>
      <c r="E289" t="s">
        <v>356</v>
      </c>
      <c r="F289">
        <v>3</v>
      </c>
      <c r="G289" t="s">
        <v>357</v>
      </c>
      <c r="H289">
        <v>0.75</v>
      </c>
      <c r="I289">
        <v>1</v>
      </c>
      <c r="J289">
        <v>1058.07</v>
      </c>
      <c r="K289">
        <v>5745.18</v>
      </c>
    </row>
    <row r="290" spans="2:11" customFormat="1" hidden="1" outlineLevel="1" x14ac:dyDescent="0.3">
      <c r="C290" t="s">
        <v>340</v>
      </c>
      <c r="D290" t="s">
        <v>346</v>
      </c>
      <c r="E290" t="s">
        <v>355</v>
      </c>
      <c r="F290">
        <v>3</v>
      </c>
      <c r="G290" t="s">
        <v>357</v>
      </c>
      <c r="H290">
        <v>0.3</v>
      </c>
      <c r="I290">
        <v>0</v>
      </c>
      <c r="J290">
        <v>1498.61</v>
      </c>
      <c r="K290">
        <v>4107.34</v>
      </c>
    </row>
    <row r="291" spans="2:11" customFormat="1" hidden="1" outlineLevel="1" x14ac:dyDescent="0.3">
      <c r="C291" t="s">
        <v>341</v>
      </c>
      <c r="D291" t="s">
        <v>349</v>
      </c>
      <c r="E291" t="s">
        <v>327</v>
      </c>
      <c r="F291">
        <v>3</v>
      </c>
      <c r="G291" t="s">
        <v>357</v>
      </c>
      <c r="H291">
        <v>0.75</v>
      </c>
      <c r="I291">
        <v>1</v>
      </c>
      <c r="J291">
        <v>1486.17</v>
      </c>
      <c r="K291">
        <v>4094.9</v>
      </c>
    </row>
    <row r="292" spans="2:11" customFormat="1" hidden="1" outlineLevel="1" x14ac:dyDescent="0.3">
      <c r="C292" t="s">
        <v>323</v>
      </c>
      <c r="D292" t="s">
        <v>350</v>
      </c>
      <c r="E292" t="s">
        <v>356</v>
      </c>
      <c r="F292">
        <v>3</v>
      </c>
      <c r="G292" t="s">
        <v>357</v>
      </c>
      <c r="H292">
        <v>0.75</v>
      </c>
      <c r="I292">
        <v>1</v>
      </c>
      <c r="J292">
        <v>1051.67</v>
      </c>
      <c r="K292">
        <v>3660.4</v>
      </c>
    </row>
    <row r="293" spans="2:11" customFormat="1" hidden="1" outlineLevel="1" x14ac:dyDescent="0.3">
      <c r="C293" t="s">
        <v>342</v>
      </c>
      <c r="D293" t="s">
        <v>351</v>
      </c>
      <c r="E293" t="s">
        <v>327</v>
      </c>
      <c r="F293">
        <v>3</v>
      </c>
      <c r="G293" t="s">
        <v>357</v>
      </c>
      <c r="H293">
        <v>0.75</v>
      </c>
      <c r="I293">
        <v>1</v>
      </c>
      <c r="J293">
        <v>1734.56</v>
      </c>
      <c r="K293">
        <v>4343.29</v>
      </c>
    </row>
    <row r="294" spans="2:11" customFormat="1" hidden="1" outlineLevel="1" x14ac:dyDescent="0.3">
      <c r="C294" t="s">
        <v>324</v>
      </c>
      <c r="D294" t="s">
        <v>352</v>
      </c>
      <c r="E294" t="s">
        <v>356</v>
      </c>
      <c r="F294">
        <v>3</v>
      </c>
      <c r="G294" t="s">
        <v>357</v>
      </c>
      <c r="H294">
        <v>0.75</v>
      </c>
      <c r="I294">
        <v>1</v>
      </c>
      <c r="J294">
        <v>1345.36</v>
      </c>
      <c r="K294">
        <v>3954.09</v>
      </c>
    </row>
    <row r="295" spans="2:11" customFormat="1" hidden="1" outlineLevel="1" x14ac:dyDescent="0.3">
      <c r="C295" t="s">
        <v>343</v>
      </c>
      <c r="D295" t="s">
        <v>353</v>
      </c>
      <c r="E295" t="s">
        <v>327</v>
      </c>
      <c r="F295">
        <v>3</v>
      </c>
      <c r="G295" t="s">
        <v>357</v>
      </c>
      <c r="H295">
        <v>0.75</v>
      </c>
      <c r="I295">
        <v>1</v>
      </c>
      <c r="J295">
        <v>1958.23</v>
      </c>
      <c r="K295">
        <v>4566.96</v>
      </c>
    </row>
    <row r="296" spans="2:11" customFormat="1" hidden="1" outlineLevel="1" x14ac:dyDescent="0.3">
      <c r="C296" t="s">
        <v>344</v>
      </c>
      <c r="D296" t="s">
        <v>354</v>
      </c>
      <c r="E296" t="s">
        <v>356</v>
      </c>
      <c r="F296">
        <v>3</v>
      </c>
      <c r="G296" t="s">
        <v>357</v>
      </c>
      <c r="H296">
        <v>0.75</v>
      </c>
      <c r="I296">
        <v>1</v>
      </c>
      <c r="J296">
        <v>1405.21</v>
      </c>
      <c r="K296">
        <v>4013.94</v>
      </c>
    </row>
    <row r="297" spans="2:11" customFormat="1" hidden="1" outlineLevel="1" x14ac:dyDescent="0.3">
      <c r="C297" t="s">
        <v>345</v>
      </c>
      <c r="D297" t="s">
        <v>326</v>
      </c>
      <c r="E297" t="s">
        <v>327</v>
      </c>
      <c r="F297">
        <v>3</v>
      </c>
      <c r="G297" t="s">
        <v>357</v>
      </c>
      <c r="H297">
        <v>0.75</v>
      </c>
      <c r="I297">
        <v>0</v>
      </c>
      <c r="J297">
        <v>1997.23</v>
      </c>
      <c r="K297">
        <v>4605.96</v>
      </c>
    </row>
    <row r="298" spans="2:11" customFormat="1" hidden="1" outlineLevel="1" x14ac:dyDescent="0.3">
      <c r="J298">
        <v>1477.62</v>
      </c>
      <c r="K298">
        <v>4086.35</v>
      </c>
    </row>
    <row r="299" spans="2:11" customFormat="1" hidden="1" outlineLevel="1" x14ac:dyDescent="0.3">
      <c r="B299" t="s">
        <v>363</v>
      </c>
      <c r="E299" t="s">
        <v>361</v>
      </c>
      <c r="F299" t="s">
        <v>360</v>
      </c>
      <c r="G299" t="s">
        <v>367</v>
      </c>
      <c r="H299" t="s">
        <v>368</v>
      </c>
      <c r="I299" t="s">
        <v>366</v>
      </c>
      <c r="J299">
        <v>2053.52</v>
      </c>
      <c r="K299">
        <v>4677.03</v>
      </c>
    </row>
    <row r="300" spans="2:11" customFormat="1" hidden="1" outlineLevel="1" x14ac:dyDescent="0.3">
      <c r="B300">
        <v>1</v>
      </c>
      <c r="C300" t="s">
        <v>358</v>
      </c>
      <c r="D300" t="s">
        <v>359</v>
      </c>
      <c r="E300">
        <f>J276-J277</f>
        <v>261.95000000000005</v>
      </c>
      <c r="F300">
        <f>K276-K277</f>
        <v>280.22000000000025</v>
      </c>
      <c r="G300">
        <f>IF($B300=1, $J$276, $J$288)</f>
        <v>819.72</v>
      </c>
      <c r="H300" s="9">
        <f>E300/G300</f>
        <v>0.31956033767627973</v>
      </c>
      <c r="I300">
        <f>IF($B300=1, $K$276, $K$288)</f>
        <v>5123.45</v>
      </c>
    </row>
    <row r="301" spans="2:11" customFormat="1" hidden="1" outlineLevel="1" x14ac:dyDescent="0.3">
      <c r="B301">
        <v>3</v>
      </c>
      <c r="E301">
        <f>J288-J289</f>
        <v>995.45</v>
      </c>
      <c r="F301">
        <f>K288-K289</f>
        <v>1058.0699999999997</v>
      </c>
      <c r="G301">
        <f t="shared" ref="G301:G315" si="38">IF($B301=1, $J$276, $J$288)</f>
        <v>2053.52</v>
      </c>
      <c r="H301" s="9">
        <f t="shared" ref="H301:H315" si="39">E301/G301</f>
        <v>0.48475300946667188</v>
      </c>
      <c r="I301">
        <f t="shared" ref="I301:I315" si="40">IF($B301=1, $K$276, $K$288)</f>
        <v>6803.25</v>
      </c>
      <c r="J301" t="s">
        <v>369</v>
      </c>
    </row>
    <row r="302" spans="2:11" customFormat="1" hidden="1" outlineLevel="1" x14ac:dyDescent="0.3">
      <c r="B302">
        <v>1</v>
      </c>
      <c r="C302" t="s">
        <v>362</v>
      </c>
      <c r="D302" t="s">
        <v>364</v>
      </c>
      <c r="E302">
        <f>J276-J278</f>
        <v>99.519999999999982</v>
      </c>
      <c r="F302">
        <f>K276-K278</f>
        <v>2240.54</v>
      </c>
      <c r="G302">
        <f t="shared" si="38"/>
        <v>819.72</v>
      </c>
      <c r="H302" s="9">
        <f t="shared" si="39"/>
        <v>0.12140730981310689</v>
      </c>
      <c r="I302">
        <f t="shared" si="40"/>
        <v>5123.45</v>
      </c>
      <c r="J302" s="9">
        <f>F300/I300</f>
        <v>5.469361465418815E-2</v>
      </c>
    </row>
    <row r="303" spans="2:11" customFormat="1" hidden="1" outlineLevel="1" x14ac:dyDescent="0.3">
      <c r="B303">
        <v>3</v>
      </c>
      <c r="E303">
        <f>J288-J290</f>
        <v>554.91000000000008</v>
      </c>
      <c r="F303">
        <f>K288-K290</f>
        <v>2695.91</v>
      </c>
      <c r="G303">
        <f t="shared" si="38"/>
        <v>2053.52</v>
      </c>
      <c r="H303" s="9">
        <f t="shared" si="39"/>
        <v>0.27022381082239283</v>
      </c>
      <c r="I303">
        <f t="shared" si="40"/>
        <v>6803.25</v>
      </c>
      <c r="J303" s="9">
        <f t="shared" ref="J303:J317" si="41">F301/I301</f>
        <v>0.15552419799360595</v>
      </c>
    </row>
    <row r="304" spans="2:11" customFormat="1" hidden="1" outlineLevel="1" x14ac:dyDescent="0.3">
      <c r="B304">
        <v>1</v>
      </c>
      <c r="C304" s="40" t="s">
        <v>370</v>
      </c>
      <c r="D304" t="s">
        <v>365</v>
      </c>
      <c r="E304">
        <f>J287-J278</f>
        <v>99.519999999999982</v>
      </c>
      <c r="F304">
        <f>K287-K278</f>
        <v>114.32000000000016</v>
      </c>
      <c r="G304">
        <f t="shared" si="38"/>
        <v>819.72</v>
      </c>
      <c r="H304" s="9">
        <f t="shared" si="39"/>
        <v>0.12140730981310689</v>
      </c>
      <c r="I304">
        <f t="shared" si="40"/>
        <v>5123.45</v>
      </c>
      <c r="J304" s="9">
        <f t="shared" si="41"/>
        <v>0.4373107964359953</v>
      </c>
    </row>
    <row r="305" spans="2:10" customFormat="1" hidden="1" outlineLevel="1" x14ac:dyDescent="0.3">
      <c r="B305">
        <v>3</v>
      </c>
      <c r="E305">
        <f>J299-J290</f>
        <v>554.91000000000008</v>
      </c>
      <c r="F305">
        <f>K299-K290</f>
        <v>569.6899999999996</v>
      </c>
      <c r="G305">
        <f t="shared" si="38"/>
        <v>2053.52</v>
      </c>
      <c r="H305" s="9">
        <f t="shared" si="39"/>
        <v>0.27022381082239283</v>
      </c>
      <c r="I305">
        <f t="shared" si="40"/>
        <v>6803.25</v>
      </c>
      <c r="J305" s="9">
        <f t="shared" si="41"/>
        <v>0.39626796016609706</v>
      </c>
    </row>
    <row r="306" spans="2:10" customFormat="1" hidden="1" outlineLevel="1" x14ac:dyDescent="0.3">
      <c r="B306">
        <v>1</v>
      </c>
      <c r="C306" s="103" t="s">
        <v>372</v>
      </c>
      <c r="D306" t="s">
        <v>371</v>
      </c>
      <c r="E306">
        <f>J281-J282</f>
        <v>99.519999999999982</v>
      </c>
      <c r="F306">
        <f>K281-K282</f>
        <v>99.519999999999982</v>
      </c>
      <c r="G306">
        <f t="shared" si="38"/>
        <v>819.72</v>
      </c>
      <c r="H306" s="9">
        <f t="shared" si="39"/>
        <v>0.12140730981310689</v>
      </c>
      <c r="I306">
        <f t="shared" si="40"/>
        <v>5123.45</v>
      </c>
      <c r="J306" s="9">
        <f t="shared" si="41"/>
        <v>2.2313089812528698E-2</v>
      </c>
    </row>
    <row r="307" spans="2:10" customFormat="1" hidden="1" outlineLevel="1" x14ac:dyDescent="0.3">
      <c r="B307">
        <v>3</v>
      </c>
      <c r="E307">
        <f>J293-J294</f>
        <v>389.20000000000005</v>
      </c>
      <c r="F307">
        <f>K293-K294</f>
        <v>389.19999999999982</v>
      </c>
      <c r="G307">
        <f t="shared" si="38"/>
        <v>2053.52</v>
      </c>
      <c r="H307" s="9">
        <f t="shared" si="39"/>
        <v>0.18952822470684486</v>
      </c>
      <c r="I307">
        <f t="shared" si="40"/>
        <v>6803.25</v>
      </c>
      <c r="J307" s="9">
        <f t="shared" si="41"/>
        <v>8.3737919376768402E-2</v>
      </c>
    </row>
    <row r="308" spans="2:10" customFormat="1" hidden="1" outlineLevel="1" x14ac:dyDescent="0.3">
      <c r="B308">
        <v>1</v>
      </c>
      <c r="C308" s="103" t="s">
        <v>374</v>
      </c>
      <c r="D308" t="s">
        <v>373</v>
      </c>
      <c r="E308">
        <f>J283-J284</f>
        <v>43.490000000000009</v>
      </c>
      <c r="F308">
        <f>K283-K284</f>
        <v>43.490000000000236</v>
      </c>
      <c r="G308">
        <f t="shared" si="38"/>
        <v>819.72</v>
      </c>
      <c r="H308" s="9">
        <f t="shared" si="39"/>
        <v>5.3054701605426254E-2</v>
      </c>
      <c r="I308">
        <f t="shared" si="40"/>
        <v>5123.45</v>
      </c>
      <c r="J308" s="9">
        <f t="shared" si="41"/>
        <v>1.9424411285364353E-2</v>
      </c>
    </row>
    <row r="309" spans="2:10" customFormat="1" hidden="1" outlineLevel="1" x14ac:dyDescent="0.3">
      <c r="B309">
        <v>3</v>
      </c>
      <c r="E309">
        <f>J295-J296</f>
        <v>553.02</v>
      </c>
      <c r="F309">
        <f>K295-K296</f>
        <v>553.02</v>
      </c>
      <c r="G309">
        <f t="shared" si="38"/>
        <v>2053.52</v>
      </c>
      <c r="H309" s="9">
        <f t="shared" si="39"/>
        <v>0.26930343994701778</v>
      </c>
      <c r="I309">
        <f t="shared" si="40"/>
        <v>6803.25</v>
      </c>
      <c r="J309" s="9">
        <f t="shared" si="41"/>
        <v>5.7207952081725619E-2</v>
      </c>
    </row>
    <row r="310" spans="2:10" customFormat="1" hidden="1" outlineLevel="1" x14ac:dyDescent="0.3">
      <c r="B310">
        <v>1</v>
      </c>
      <c r="C310" t="s">
        <v>375</v>
      </c>
      <c r="D310" t="s">
        <v>376</v>
      </c>
      <c r="E310">
        <f>J285-J286</f>
        <v>98.659999999999968</v>
      </c>
      <c r="F310">
        <f>K285-K286</f>
        <v>98.659999999999854</v>
      </c>
      <c r="G310">
        <f t="shared" si="38"/>
        <v>819.72</v>
      </c>
      <c r="H310" s="9">
        <f t="shared" si="39"/>
        <v>0.12035817108280872</v>
      </c>
      <c r="I310">
        <f t="shared" si="40"/>
        <v>5123.45</v>
      </c>
      <c r="J310" s="9">
        <f t="shared" si="41"/>
        <v>8.488420888268693E-3</v>
      </c>
    </row>
    <row r="311" spans="2:10" customFormat="1" hidden="1" outlineLevel="1" x14ac:dyDescent="0.3">
      <c r="B311">
        <v>3</v>
      </c>
      <c r="E311">
        <f>J297-J298</f>
        <v>519.61000000000013</v>
      </c>
      <c r="F311">
        <f>K297-K298</f>
        <v>519.61000000000013</v>
      </c>
      <c r="G311">
        <f t="shared" si="38"/>
        <v>2053.52</v>
      </c>
      <c r="H311" s="9">
        <f t="shared" si="39"/>
        <v>0.25303381510771755</v>
      </c>
      <c r="I311">
        <f t="shared" si="40"/>
        <v>6803.25</v>
      </c>
      <c r="J311" s="9">
        <f t="shared" si="41"/>
        <v>8.1287619887553744E-2</v>
      </c>
    </row>
    <row r="312" spans="2:10" customFormat="1" hidden="1" outlineLevel="1" x14ac:dyDescent="0.3">
      <c r="B312">
        <v>1</v>
      </c>
      <c r="C312" s="40" t="s">
        <v>378</v>
      </c>
      <c r="D312" t="s">
        <v>377</v>
      </c>
      <c r="E312">
        <f>J276-J287</f>
        <v>0</v>
      </c>
      <c r="F312">
        <f>K276-K287</f>
        <v>2126.2199999999998</v>
      </c>
      <c r="G312">
        <f t="shared" si="38"/>
        <v>819.72</v>
      </c>
      <c r="H312" s="9">
        <f t="shared" si="39"/>
        <v>0</v>
      </c>
      <c r="I312">
        <f t="shared" si="40"/>
        <v>5123.45</v>
      </c>
      <c r="J312" s="9">
        <f t="shared" si="41"/>
        <v>1.9256555641218292E-2</v>
      </c>
    </row>
    <row r="313" spans="2:10" customFormat="1" hidden="1" outlineLevel="1" x14ac:dyDescent="0.3">
      <c r="B313">
        <v>3</v>
      </c>
      <c r="E313">
        <f>J288-J299</f>
        <v>0</v>
      </c>
      <c r="F313">
        <f>K288-K299</f>
        <v>2126.2200000000003</v>
      </c>
      <c r="G313">
        <f t="shared" si="38"/>
        <v>2053.52</v>
      </c>
      <c r="H313" s="9">
        <f t="shared" si="39"/>
        <v>0</v>
      </c>
      <c r="I313">
        <f t="shared" si="40"/>
        <v>6803.25</v>
      </c>
      <c r="J313" s="9">
        <f t="shared" si="41"/>
        <v>7.6376731709109635E-2</v>
      </c>
    </row>
    <row r="314" spans="2:10" customFormat="1" hidden="1" outlineLevel="1" x14ac:dyDescent="0.3">
      <c r="B314">
        <v>1</v>
      </c>
      <c r="C314" t="s">
        <v>380</v>
      </c>
      <c r="D314" t="s">
        <v>379</v>
      </c>
      <c r="E314">
        <f>J277-J280</f>
        <v>3.4900000000000091</v>
      </c>
      <c r="F314">
        <f>K277-K280</f>
        <v>2126.2199999999993</v>
      </c>
      <c r="G314">
        <f t="shared" si="38"/>
        <v>819.72</v>
      </c>
      <c r="H314" s="9">
        <f t="shared" si="39"/>
        <v>4.2575513590006452E-3</v>
      </c>
      <c r="I314">
        <f t="shared" si="40"/>
        <v>5123.45</v>
      </c>
      <c r="J314" s="9">
        <f t="shared" si="41"/>
        <v>0.41499770662346658</v>
      </c>
    </row>
    <row r="315" spans="2:10" customFormat="1" hidden="1" outlineLevel="1" x14ac:dyDescent="0.3">
      <c r="B315">
        <v>3</v>
      </c>
      <c r="E315">
        <f>J289-J292</f>
        <v>6.3999999999998636</v>
      </c>
      <c r="F315">
        <f>K289-K292</f>
        <v>2084.7800000000002</v>
      </c>
      <c r="G315">
        <f t="shared" si="38"/>
        <v>2053.52</v>
      </c>
      <c r="H315" s="9">
        <f t="shared" si="39"/>
        <v>3.1165997896294476E-3</v>
      </c>
      <c r="I315">
        <f t="shared" si="40"/>
        <v>6803.25</v>
      </c>
      <c r="J315" s="9">
        <f t="shared" si="41"/>
        <v>0.31253004078932867</v>
      </c>
    </row>
    <row r="316" spans="2:10" customFormat="1" hidden="1" outlineLevel="1" x14ac:dyDescent="0.3">
      <c r="J316" s="9">
        <f t="shared" si="41"/>
        <v>0.41499770662346652</v>
      </c>
    </row>
    <row r="317" spans="2:10" customFormat="1" hidden="1" outlineLevel="1" x14ac:dyDescent="0.3">
      <c r="J317" s="9">
        <f t="shared" si="41"/>
        <v>0.30643883438062691</v>
      </c>
    </row>
    <row r="318" spans="2:10" customFormat="1" ht="23.4" hidden="1" outlineLevel="1" x14ac:dyDescent="0.45">
      <c r="B318" s="99" t="s">
        <v>449</v>
      </c>
    </row>
    <row r="319" spans="2:10" customFormat="1" hidden="1" outlineLevel="1" x14ac:dyDescent="0.3"/>
    <row r="320" spans="2:10" customFormat="1" hidden="1" outlineLevel="1" x14ac:dyDescent="0.3">
      <c r="E320" t="s">
        <v>450</v>
      </c>
    </row>
    <row r="321" spans="5:6" customFormat="1" hidden="1" outlineLevel="1" x14ac:dyDescent="0.3">
      <c r="E321">
        <v>2019</v>
      </c>
      <c r="F321">
        <v>2403</v>
      </c>
    </row>
    <row r="322" spans="5:6" customFormat="1" hidden="1" outlineLevel="1" x14ac:dyDescent="0.3">
      <c r="E322">
        <v>2018</v>
      </c>
      <c r="F322">
        <v>4134</v>
      </c>
    </row>
    <row r="323" spans="5:6" customFormat="1" hidden="1" outlineLevel="1" x14ac:dyDescent="0.3">
      <c r="E323" t="s">
        <v>451</v>
      </c>
      <c r="F323">
        <v>1499</v>
      </c>
    </row>
    <row r="324" spans="5:6" customFormat="1" hidden="1" outlineLevel="1" x14ac:dyDescent="0.3"/>
    <row r="325" spans="5:6" customFormat="1" hidden="1" outlineLevel="1" x14ac:dyDescent="0.3"/>
    <row r="326" spans="5:6" customFormat="1" hidden="1" outlineLevel="1" x14ac:dyDescent="0.3"/>
    <row r="327" spans="5:6" customFormat="1" hidden="1" outlineLevel="1" x14ac:dyDescent="0.3"/>
    <row r="328" spans="5:6" customFormat="1" hidden="1" outlineLevel="1" x14ac:dyDescent="0.3"/>
    <row r="329" spans="5:6" customFormat="1" hidden="1" outlineLevel="1" x14ac:dyDescent="0.3"/>
    <row r="330" spans="5:6" customFormat="1" hidden="1" outlineLevel="1" x14ac:dyDescent="0.3"/>
    <row r="331" spans="5:6" customFormat="1" hidden="1" outlineLevel="1" x14ac:dyDescent="0.3"/>
    <row r="332" spans="5:6" customFormat="1" hidden="1" outlineLevel="1" x14ac:dyDescent="0.3"/>
    <row r="333" spans="5:6" customFormat="1" hidden="1" outlineLevel="1" x14ac:dyDescent="0.3"/>
    <row r="334" spans="5:6" customFormat="1" hidden="1" outlineLevel="1" x14ac:dyDescent="0.3"/>
    <row r="335" spans="5:6" customFormat="1" hidden="1" outlineLevel="1" x14ac:dyDescent="0.3"/>
    <row r="336" spans="5:6" customFormat="1" hidden="1" outlineLevel="1" x14ac:dyDescent="0.3"/>
    <row r="337" spans="2:9" customFormat="1" hidden="1" outlineLevel="1" x14ac:dyDescent="0.3"/>
    <row r="338" spans="2:9" customFormat="1" hidden="1" outlineLevel="1" x14ac:dyDescent="0.3"/>
    <row r="339" spans="2:9" customFormat="1" hidden="1" outlineLevel="1" x14ac:dyDescent="0.3"/>
    <row r="340" spans="2:9" customFormat="1" hidden="1" outlineLevel="1" x14ac:dyDescent="0.3">
      <c r="B340" s="298"/>
      <c r="C340" s="298"/>
      <c r="D340" s="298"/>
      <c r="E340" s="298"/>
      <c r="F340" s="298"/>
      <c r="G340" s="298"/>
      <c r="H340" s="298"/>
      <c r="I340" s="298"/>
    </row>
    <row r="341" spans="2:9" customFormat="1" hidden="1" outlineLevel="1" x14ac:dyDescent="0.3">
      <c r="B341" s="298"/>
      <c r="C341" s="298"/>
      <c r="D341" s="298"/>
      <c r="E341" s="298"/>
      <c r="F341" s="298"/>
      <c r="G341" s="298"/>
      <c r="H341" s="298"/>
      <c r="I341" s="298"/>
    </row>
    <row r="342" spans="2:9" collapsed="1" x14ac:dyDescent="0.3"/>
  </sheetData>
  <mergeCells count="5">
    <mergeCell ref="B80:I80"/>
    <mergeCell ref="B1:I2"/>
    <mergeCell ref="G7:H7"/>
    <mergeCell ref="G8:H8"/>
    <mergeCell ref="G9:H9"/>
  </mergeCells>
  <conditionalFormatting sqref="E49:E51">
    <cfRule type="containsText" dxfId="5" priority="1" operator="containsText" text="ON">
      <formula>NOT(ISERROR(SEARCH("ON",E49)))</formula>
    </cfRule>
    <cfRule type="containsText" dxfId="4" priority="2" operator="containsText" text="OFF">
      <formula>NOT(ISERROR(SEARCH("OFF",E49)))</formula>
    </cfRule>
  </conditionalFormatting>
  <pageMargins left="0.7" right="0.7" top="0.75" bottom="0.75" header="0.3" footer="0.3"/>
  <pageSetup orientation="portrait" r:id="rId1"/>
  <ignoredErrors>
    <ignoredError sqref="G121:I121 Q123:S123 G124:I124 Q126:S126 G127:I127 Q129:S129 G133:I133 Q137:S137 G137:I137 Q141:S141 G141:I141 Q145:S145 G148:I148 G151:I151 Q154:S154 G154:I154 Q157:S157 G157:I157 Q160:S160 G160:I160 Q163:S163 Q166:S166 G166:I166 G169:I169 G172:I172 Q174:S174 G175:I175 Q177:S177 G178:I178 Q180:S180 G181:I181 Q183:S183 Q186:S186 G186:I186 Q189:S189 G197:I197" unlockedFormula="1"/>
    <ignoredError sqref="Q150:S150 Q210:S210" evalError="1"/>
    <ignoredError sqref="E307:F310 G49:G63 G69:G71 I55 G46 D4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RevealorHideUSVIEET">
                <anchor moveWithCells="1" sizeWithCells="1">
                  <from>
                    <xdr:col>5</xdr:col>
                    <xdr:colOff>1394460</xdr:colOff>
                    <xdr:row>81</xdr:row>
                    <xdr:rowOff>114300</xdr:rowOff>
                  </from>
                  <to>
                    <xdr:col>6</xdr:col>
                    <xdr:colOff>1013460</xdr:colOff>
                    <xdr:row>83</xdr:row>
                    <xdr:rowOff>22860</xdr:rowOff>
                  </to>
                </anchor>
              </controlPr>
            </control>
          </mc:Choice>
        </mc:AlternateContent>
        <mc:AlternateContent xmlns:mc="http://schemas.openxmlformats.org/markup-compatibility/2006">
          <mc:Choice Requires="x14">
            <control shapeId="10242" r:id="rId5" name="Button 2">
              <controlPr defaultSize="0" print="0" autoFill="0" autoPict="0" macro="[0]!RevealorHidePREAT">
                <anchor moveWithCells="1" sizeWithCells="1">
                  <from>
                    <xdr:col>1</xdr:col>
                    <xdr:colOff>1546860</xdr:colOff>
                    <xdr:row>220</xdr:row>
                    <xdr:rowOff>137160</xdr:rowOff>
                  </from>
                  <to>
                    <xdr:col>1</xdr:col>
                    <xdr:colOff>2819400</xdr:colOff>
                    <xdr:row>222</xdr:row>
                    <xdr:rowOff>22860</xdr:rowOff>
                  </to>
                </anchor>
              </controlPr>
            </control>
          </mc:Choice>
        </mc:AlternateContent>
        <mc:AlternateContent xmlns:mc="http://schemas.openxmlformats.org/markup-compatibility/2006">
          <mc:Choice Requires="x14">
            <control shapeId="10243" r:id="rId6" name="Button 3">
              <controlPr defaultSize="0" print="0" autoFill="0" autoPict="0" macro="[0]!RevealorHideAsa">
                <anchor moveWithCells="1" sizeWithCells="1">
                  <from>
                    <xdr:col>3</xdr:col>
                    <xdr:colOff>99060</xdr:colOff>
                    <xdr:row>234</xdr:row>
                    <xdr:rowOff>99060</xdr:rowOff>
                  </from>
                  <to>
                    <xdr:col>3</xdr:col>
                    <xdr:colOff>1394460</xdr:colOff>
                    <xdr:row>235</xdr:row>
                    <xdr:rowOff>289560</xdr:rowOff>
                  </to>
                </anchor>
              </controlPr>
            </control>
          </mc:Choice>
        </mc:AlternateContent>
        <mc:AlternateContent xmlns:mc="http://schemas.openxmlformats.org/markup-compatibility/2006">
          <mc:Choice Requires="x14">
            <control shapeId="10244" r:id="rId7" name="Button 4">
              <controlPr defaultSize="0" print="0" autoFill="0" autoPict="0" macro="[0]!RevealorHideIRP">
                <anchor moveWithCells="1" sizeWithCells="1">
                  <from>
                    <xdr:col>1</xdr:col>
                    <xdr:colOff>1089660</xdr:colOff>
                    <xdr:row>248</xdr:row>
                    <xdr:rowOff>137160</xdr:rowOff>
                  </from>
                  <to>
                    <xdr:col>1</xdr:col>
                    <xdr:colOff>2385060</xdr:colOff>
                    <xdr:row>253</xdr:row>
                    <xdr:rowOff>22860</xdr:rowOff>
                  </to>
                </anchor>
              </controlPr>
            </control>
          </mc:Choice>
        </mc:AlternateContent>
        <mc:AlternateContent xmlns:mc="http://schemas.openxmlformats.org/markup-compatibility/2006">
          <mc:Choice Requires="x14">
            <control shapeId="10245" r:id="rId8" name="Button 5">
              <controlPr defaultSize="0" print="0" autoFill="0" autoPict="0" macro="[0]!RevealorHideRESSTOCK">
                <anchor moveWithCells="1" sizeWithCells="1">
                  <from>
                    <xdr:col>1</xdr:col>
                    <xdr:colOff>2308860</xdr:colOff>
                    <xdr:row>254</xdr:row>
                    <xdr:rowOff>137160</xdr:rowOff>
                  </from>
                  <to>
                    <xdr:col>1</xdr:col>
                    <xdr:colOff>3581400</xdr:colOff>
                    <xdr:row>268</xdr:row>
                    <xdr:rowOff>22860</xdr:rowOff>
                  </to>
                </anchor>
              </controlPr>
            </control>
          </mc:Choice>
        </mc:AlternateContent>
        <mc:AlternateContent xmlns:mc="http://schemas.openxmlformats.org/markup-compatibility/2006">
          <mc:Choice Requires="x14">
            <control shapeId="10246" r:id="rId9" name="Button 6">
              <controlPr defaultSize="0" print="0" autoFill="0" autoPict="0" macro="[0]!RevealorHidePRBA">
                <anchor moveWithCells="1" sizeWithCells="1">
                  <from>
                    <xdr:col>7</xdr:col>
                    <xdr:colOff>1028700</xdr:colOff>
                    <xdr:row>269</xdr:row>
                    <xdr:rowOff>175260</xdr:rowOff>
                  </from>
                  <to>
                    <xdr:col>7</xdr:col>
                    <xdr:colOff>2308860</xdr:colOff>
                    <xdr:row>271</xdr:row>
                    <xdr:rowOff>60960</xdr:rowOff>
                  </to>
                </anchor>
              </controlPr>
            </control>
          </mc:Choice>
        </mc:AlternateContent>
        <mc:AlternateContent xmlns:mc="http://schemas.openxmlformats.org/markup-compatibility/2006">
          <mc:Choice Requires="x14">
            <control shapeId="10247" r:id="rId10" name="Button 7">
              <controlPr defaultSize="0" print="0" autoFill="0" autoPict="0" macro="[0]!RevealorHideUniversalSHW">
                <anchor moveWithCells="1" sizeWithCells="1">
                  <from>
                    <xdr:col>1</xdr:col>
                    <xdr:colOff>2971800</xdr:colOff>
                    <xdr:row>317</xdr:row>
                    <xdr:rowOff>22860</xdr:rowOff>
                  </from>
                  <to>
                    <xdr:col>2</xdr:col>
                    <xdr:colOff>251460</xdr:colOff>
                    <xdr:row>318</xdr:row>
                    <xdr:rowOff>99060</xdr:rowOff>
                  </to>
                </anchor>
              </controlPr>
            </control>
          </mc:Choice>
        </mc:AlternateContent>
      </controls>
    </mc:Choice>
  </mc:AlternateContent>
  <tableParts count="2">
    <tablePart r:id="rId1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9D2D7-CFCE-4777-A3C5-61CD77152A60}">
  <sheetPr codeName="Sheet7"/>
  <dimension ref="B1:M54"/>
  <sheetViews>
    <sheetView showGridLines="0" zoomScaleNormal="100" workbookViewId="0">
      <selection activeCell="B30" sqref="B30"/>
    </sheetView>
  </sheetViews>
  <sheetFormatPr defaultColWidth="8.6640625" defaultRowHeight="14.4" x14ac:dyDescent="0.3"/>
  <cols>
    <col min="1" max="1" width="2.5546875" customWidth="1"/>
    <col min="2" max="2" width="57.44140625" customWidth="1"/>
    <col min="3" max="3" width="19.109375" customWidth="1"/>
    <col min="4" max="4" width="17.44140625" customWidth="1"/>
    <col min="5" max="5" width="16.33203125" customWidth="1"/>
    <col min="6" max="6" width="25.88671875" customWidth="1"/>
    <col min="7" max="8" width="27.5546875" customWidth="1"/>
    <col min="9" max="9" width="28" customWidth="1"/>
    <col min="10" max="10" width="10.109375" hidden="1" customWidth="1"/>
    <col min="11" max="11" width="19.44140625" hidden="1" customWidth="1"/>
  </cols>
  <sheetData>
    <row r="1" spans="2:13" ht="14.4" customHeight="1" x14ac:dyDescent="0.3">
      <c r="B1" s="521" t="s">
        <v>980</v>
      </c>
      <c r="C1" s="521"/>
      <c r="D1" s="521"/>
      <c r="E1" s="521"/>
      <c r="F1" s="521"/>
      <c r="G1" s="521"/>
      <c r="H1" s="521"/>
      <c r="I1" s="521"/>
      <c r="J1" s="521"/>
      <c r="K1" s="521"/>
    </row>
    <row r="2" spans="2:13" ht="14.4" customHeight="1" x14ac:dyDescent="0.3">
      <c r="B2" s="521"/>
      <c r="C2" s="521"/>
      <c r="D2" s="521"/>
      <c r="E2" s="521"/>
      <c r="F2" s="521"/>
      <c r="G2" s="521"/>
      <c r="H2" s="521"/>
      <c r="I2" s="521"/>
      <c r="J2" s="521"/>
      <c r="K2" s="521"/>
    </row>
    <row r="5" spans="2:13" ht="14.4" customHeight="1" x14ac:dyDescent="0.3">
      <c r="G5" s="427"/>
      <c r="H5" s="427"/>
    </row>
    <row r="6" spans="2:13" ht="14.4" customHeight="1" thickBot="1" x14ac:dyDescent="0.35"/>
    <row r="7" spans="2:13" ht="37.5" customHeight="1" thickBot="1" x14ac:dyDescent="0.35">
      <c r="B7" s="341" t="s">
        <v>1026</v>
      </c>
      <c r="G7" s="524" t="s">
        <v>985</v>
      </c>
      <c r="H7" s="525"/>
      <c r="I7" s="338">
        <v>121515</v>
      </c>
    </row>
    <row r="8" spans="2:13" ht="20.100000000000001" customHeight="1" thickBot="1" x14ac:dyDescent="0.45">
      <c r="B8" s="344">
        <f>IF(SUM(I12,I21,I26,I31,I35,I45,I48,I50)&gt;1, 100%, SUM(I12,I21,I26,I31,I35,I45,I48,I50))</f>
        <v>0.36536328146451524</v>
      </c>
      <c r="G8" s="524" t="s">
        <v>996</v>
      </c>
      <c r="H8" s="525"/>
      <c r="I8" s="376">
        <f>1000000*'Consumption Forecasts'!B5</f>
        <v>9497174272.1705818</v>
      </c>
    </row>
    <row r="9" spans="2:13" ht="20.100000000000001" customHeight="1" thickBot="1" x14ac:dyDescent="0.35">
      <c r="C9" s="3"/>
      <c r="D9" s="3"/>
      <c r="G9" s="524" t="s">
        <v>997</v>
      </c>
      <c r="H9" s="525"/>
      <c r="I9" s="376">
        <f>1000000*'Consumption Forecasts'!V5</f>
        <v>8960310126.8901329</v>
      </c>
    </row>
    <row r="10" spans="2:13" ht="23.4" customHeight="1" thickBot="1" x14ac:dyDescent="0.35">
      <c r="B10" s="230" t="s">
        <v>1006</v>
      </c>
      <c r="C10" s="230" t="s">
        <v>1007</v>
      </c>
      <c r="D10" s="230" t="s">
        <v>1008</v>
      </c>
      <c r="E10" s="230" t="s">
        <v>1009</v>
      </c>
      <c r="F10" s="230" t="s">
        <v>1010</v>
      </c>
      <c r="G10" s="230" t="s">
        <v>1011</v>
      </c>
      <c r="H10" s="230" t="s">
        <v>1012</v>
      </c>
      <c r="I10" s="230" t="s">
        <v>1013</v>
      </c>
    </row>
    <row r="11" spans="2:13" s="107" customFormat="1" ht="54.9" customHeight="1" x14ac:dyDescent="0.3">
      <c r="B11" s="395" t="s">
        <v>543</v>
      </c>
      <c r="C11" s="351" t="s">
        <v>1022</v>
      </c>
      <c r="D11" s="396" t="s">
        <v>1024</v>
      </c>
      <c r="E11" s="351" t="s">
        <v>1014</v>
      </c>
      <c r="F11" s="351" t="s">
        <v>1023</v>
      </c>
      <c r="G11" s="351" t="s">
        <v>1019</v>
      </c>
      <c r="H11" s="351" t="s">
        <v>1016</v>
      </c>
      <c r="I11" s="351" t="s">
        <v>1025</v>
      </c>
      <c r="J11" s="351" t="s">
        <v>1015</v>
      </c>
      <c r="K11" s="351" t="s">
        <v>1021</v>
      </c>
      <c r="M11" s="406"/>
    </row>
    <row r="12" spans="2:13" x14ac:dyDescent="0.3">
      <c r="B12" s="397" t="s">
        <v>900</v>
      </c>
      <c r="C12" s="379">
        <f>Table12[[#This Row],[End Use % of Total Sector Use2]]</f>
        <v>0.54184045039430029</v>
      </c>
      <c r="D12" s="378"/>
      <c r="E12" s="379">
        <f>SUM(E13:E19)</f>
        <v>1</v>
      </c>
      <c r="F12" s="380">
        <v>0.5</v>
      </c>
      <c r="G12" s="381">
        <f>SUM(G13:G20)</f>
        <v>352632318.19778055</v>
      </c>
      <c r="H12" s="379">
        <f t="shared" ref="H12:H20" si="0">IFERROR(G12/($I$9*$C$12), "-")</f>
        <v>7.2631940485611418E-2</v>
      </c>
      <c r="I12" s="398">
        <f>SUM(I13:I20)</f>
        <v>3.9354923345735697E-2</v>
      </c>
      <c r="J12" s="379">
        <f>IFERROR(I12*#REF!, 0)</f>
        <v>0</v>
      </c>
      <c r="K12" s="379">
        <f>ComRefBldg_Miami!A95+ComRefBldg_Miami!A100+ComRefBldg_Miami!A103+ComRefBldg_Miami!A104</f>
        <v>0.54184045039430029</v>
      </c>
    </row>
    <row r="13" spans="2:13" x14ac:dyDescent="0.3">
      <c r="B13" s="399" t="str">
        <f>'CZ5 Com Savings'!D9</f>
        <v>Best Commercial Rooftop AC</v>
      </c>
      <c r="C13" s="382"/>
      <c r="D13" s="382">
        <f>'CZ5 Com Savings'!F9</f>
        <v>0.15567941705875304</v>
      </c>
      <c r="E13" s="408">
        <v>0.25</v>
      </c>
      <c r="F13" s="383">
        <f t="shared" ref="F13:F20" si="1">$F$12</f>
        <v>0.5</v>
      </c>
      <c r="G13" s="384">
        <f>IFERROR(D13*E13*F13*$I$9*$C$12, "-")</f>
        <v>94479084.143398583</v>
      </c>
      <c r="H13" s="385">
        <f t="shared" si="0"/>
        <v>1.9459927132344134E-2</v>
      </c>
      <c r="I13" s="400">
        <f t="shared" ref="I13:I20" si="2">IFERROR(G13/($I$9), "-")</f>
        <v>1.0544175682029609E-2</v>
      </c>
      <c r="J13" s="385">
        <f>IFERROR(I13*#REF!, 0)</f>
        <v>0</v>
      </c>
      <c r="K13" s="385">
        <f t="shared" ref="K13:K20" si="3">K12</f>
        <v>0.54184045039430029</v>
      </c>
    </row>
    <row r="14" spans="2:13" x14ac:dyDescent="0.3">
      <c r="B14" s="399" t="str">
        <f>'CZ5 Com Savings'!D10</f>
        <v>Commercial Chillers, 90.1 c. 2016</v>
      </c>
      <c r="C14" s="382"/>
      <c r="D14" s="382">
        <f>'CZ5 Com Savings'!F10</f>
        <v>0.13454677716754987</v>
      </c>
      <c r="E14" s="408">
        <v>0.25</v>
      </c>
      <c r="F14" s="383">
        <f t="shared" si="1"/>
        <v>0.5</v>
      </c>
      <c r="G14" s="384">
        <f t="shared" ref="G14:G20" si="4">IFERROR(D14*E14*F14*$I$9*$C$12, "-")</f>
        <v>81654058.843492568</v>
      </c>
      <c r="H14" s="385">
        <f t="shared" si="0"/>
        <v>1.6818347145943734E-2</v>
      </c>
      <c r="I14" s="400">
        <f t="shared" si="2"/>
        <v>9.1128607924458472E-3</v>
      </c>
      <c r="J14" s="385">
        <f>IFERROR(I14*#REF!, 0)</f>
        <v>0</v>
      </c>
      <c r="K14" s="385">
        <f t="shared" si="3"/>
        <v>0.54184045039430029</v>
      </c>
    </row>
    <row r="15" spans="2:13" x14ac:dyDescent="0.3">
      <c r="B15" s="399" t="str">
        <f>'CZ5 Com Savings'!D11</f>
        <v>ENERGY STAR RTU v. 2.2</v>
      </c>
      <c r="C15" s="382"/>
      <c r="D15" s="382">
        <f>'CZ5 Com Savings'!F11</f>
        <v>0.10914555484091767</v>
      </c>
      <c r="E15" s="408">
        <v>0.25</v>
      </c>
      <c r="F15" s="383">
        <f t="shared" si="1"/>
        <v>0.5</v>
      </c>
      <c r="G15" s="384">
        <f t="shared" si="4"/>
        <v>66238506.377508275</v>
      </c>
      <c r="H15" s="385">
        <f t="shared" si="0"/>
        <v>1.3643194355114709E-2</v>
      </c>
      <c r="I15" s="400">
        <f t="shared" si="2"/>
        <v>7.3924345741923289E-3</v>
      </c>
      <c r="J15" s="385">
        <f>IFERROR(I15*#REF!, 0)</f>
        <v>0</v>
      </c>
      <c r="K15" s="385">
        <f t="shared" si="3"/>
        <v>0.54184045039430029</v>
      </c>
    </row>
    <row r="16" spans="2:13" x14ac:dyDescent="0.3">
      <c r="B16" s="399" t="str">
        <f>'CZ5 Com Savings'!D12</f>
        <v>Best Rooftop Heat Pump</v>
      </c>
      <c r="C16" s="382"/>
      <c r="D16" s="382">
        <f>'CZ5 Com Savings'!F12</f>
        <v>0.15602508030211862</v>
      </c>
      <c r="E16" s="408">
        <v>0.1</v>
      </c>
      <c r="F16" s="383">
        <f t="shared" si="1"/>
        <v>0.5</v>
      </c>
      <c r="G16" s="384">
        <f t="shared" si="4"/>
        <v>37875544.420316331</v>
      </c>
      <c r="H16" s="385">
        <f t="shared" si="0"/>
        <v>7.80125401510593E-3</v>
      </c>
      <c r="I16" s="400">
        <f t="shared" si="2"/>
        <v>4.2270349891853406E-3</v>
      </c>
      <c r="J16" s="385">
        <f>IFERROR(I16*#REF!, 0)</f>
        <v>0</v>
      </c>
      <c r="K16" s="385">
        <f t="shared" si="3"/>
        <v>0.54184045039430029</v>
      </c>
    </row>
    <row r="17" spans="2:11" x14ac:dyDescent="0.3">
      <c r="B17" s="399" t="str">
        <f>'CZ5 Com Savings'!D13</f>
        <v>ENERGY STAR Rooftop HP v. 2.2</v>
      </c>
      <c r="C17" s="382"/>
      <c r="D17" s="382">
        <f>'CZ5 Com Savings'!F13</f>
        <v>5.4610338665761385E-2</v>
      </c>
      <c r="E17" s="408">
        <v>0.1</v>
      </c>
      <c r="F17" s="383">
        <f t="shared" si="1"/>
        <v>0.5</v>
      </c>
      <c r="G17" s="384">
        <f t="shared" si="4"/>
        <v>13256819.377618216</v>
      </c>
      <c r="H17" s="385">
        <f t="shared" si="0"/>
        <v>2.7305169332880698E-3</v>
      </c>
      <c r="I17" s="400">
        <f t="shared" si="2"/>
        <v>1.4795045249420711E-3</v>
      </c>
      <c r="J17" s="385">
        <f>IFERROR(I17*#REF!, 0)</f>
        <v>0</v>
      </c>
      <c r="K17" s="385">
        <f t="shared" si="3"/>
        <v>0.54184045039430029</v>
      </c>
    </row>
    <row r="18" spans="2:11" x14ac:dyDescent="0.3">
      <c r="B18" s="399" t="str">
        <f>'CZ5 Com Savings'!D14</f>
        <v>Prospective Commercial AVCT HVAC</v>
      </c>
      <c r="C18" s="382"/>
      <c r="D18" s="382">
        <f>'CZ5 Com Savings'!F14</f>
        <v>0.45370116894515422</v>
      </c>
      <c r="E18" s="408">
        <v>2.5000000000000001E-2</v>
      </c>
      <c r="F18" s="383">
        <f t="shared" si="1"/>
        <v>0.5</v>
      </c>
      <c r="G18" s="384">
        <f t="shared" si="4"/>
        <v>27534321.31657473</v>
      </c>
      <c r="H18" s="385">
        <f t="shared" si="0"/>
        <v>5.6712646118144278E-3</v>
      </c>
      <c r="I18" s="400">
        <f t="shared" si="2"/>
        <v>3.0729205715707862E-3</v>
      </c>
      <c r="J18" s="385">
        <f>IFERROR(I18*#REF!, 0)</f>
        <v>0</v>
      </c>
      <c r="K18" s="385">
        <f t="shared" si="3"/>
        <v>0.54184045039430029</v>
      </c>
    </row>
    <row r="19" spans="2:11" x14ac:dyDescent="0.3">
      <c r="B19" s="399" t="str">
        <f>'CZ5 Com Savings'!D15</f>
        <v>Prospective Commercial NVC HVAC</v>
      </c>
      <c r="C19" s="382"/>
      <c r="D19" s="382">
        <f>'CZ5 Com Savings'!F15</f>
        <v>0.52059490336003311</v>
      </c>
      <c r="E19" s="408">
        <v>2.5000000000000001E-2</v>
      </c>
      <c r="F19" s="383">
        <f t="shared" si="1"/>
        <v>0.5</v>
      </c>
      <c r="G19" s="384">
        <f t="shared" si="4"/>
        <v>31593983.718871836</v>
      </c>
      <c r="H19" s="385">
        <f t="shared" si="0"/>
        <v>6.5074362920004144E-3</v>
      </c>
      <c r="I19" s="400">
        <f t="shared" si="2"/>
        <v>3.5259922113697198E-3</v>
      </c>
      <c r="J19" s="385">
        <f>IFERROR(I19*#REF!, 0)</f>
        <v>0</v>
      </c>
      <c r="K19" s="385">
        <f t="shared" si="3"/>
        <v>0.54184045039430029</v>
      </c>
    </row>
    <row r="20" spans="2:11" x14ac:dyDescent="0.3">
      <c r="B20" s="399" t="s">
        <v>1068</v>
      </c>
      <c r="C20" s="382"/>
      <c r="D20" s="382"/>
      <c r="E20" s="408"/>
      <c r="F20" s="383">
        <f t="shared" si="1"/>
        <v>0.5</v>
      </c>
      <c r="G20" s="384">
        <f t="shared" si="4"/>
        <v>0</v>
      </c>
      <c r="H20" s="385">
        <f t="shared" si="0"/>
        <v>0</v>
      </c>
      <c r="I20" s="400">
        <f t="shared" si="2"/>
        <v>0</v>
      </c>
      <c r="J20" s="385"/>
      <c r="K20" s="385">
        <f t="shared" si="3"/>
        <v>0.54184045039430029</v>
      </c>
    </row>
    <row r="21" spans="2:11" x14ac:dyDescent="0.3">
      <c r="B21" s="397" t="s">
        <v>20</v>
      </c>
      <c r="C21" s="379">
        <f>Table12[[#This Row],[End Use % of Total Sector Use2]]</f>
        <v>0.21025284073243997</v>
      </c>
      <c r="D21" s="379"/>
      <c r="E21" s="379">
        <f>SUM(E22:E24)</f>
        <v>1</v>
      </c>
      <c r="F21" s="380">
        <v>0.6</v>
      </c>
      <c r="G21" s="381">
        <f>SUM(G22:J25)</f>
        <v>424424699.76701444</v>
      </c>
      <c r="H21" s="379">
        <f>IFERROR(G21/($I$9*$C$21), "-")</f>
        <v>0.22528679490388681</v>
      </c>
      <c r="I21" s="398">
        <f>SUM(I22:I25)</f>
        <v>4.7367188577619707E-2</v>
      </c>
      <c r="J21" s="379">
        <f>IFERROR(I21*#REF!, 0)</f>
        <v>0</v>
      </c>
      <c r="K21" s="379">
        <f>ComRefBldg_Miami!A96+ComRefBldg_Miami!A97</f>
        <v>0.21025284073243997</v>
      </c>
    </row>
    <row r="22" spans="2:11" x14ac:dyDescent="0.3">
      <c r="B22" s="399" t="str">
        <f>'CZ5 Com Savings'!D16</f>
        <v>Best Commercial LED Lighting</v>
      </c>
      <c r="C22" s="382"/>
      <c r="D22" s="382">
        <f>'CZ5 Com Savings'!F16</f>
        <v>0.31513827138927969</v>
      </c>
      <c r="E22" s="408">
        <v>0.5</v>
      </c>
      <c r="F22" s="383">
        <f>$F$21</f>
        <v>0.6</v>
      </c>
      <c r="G22" s="384">
        <f>IFERROR(D22*E22*F22*$I$9*$C$21, "-")</f>
        <v>178109595.29592478</v>
      </c>
      <c r="H22" s="385">
        <f>IFERROR(G22/($I$9*$C$21), "-")</f>
        <v>9.4541481416783923E-2</v>
      </c>
      <c r="I22" s="400">
        <f>IFERROR(G22/($I$9), "-")</f>
        <v>1.9877615034932003E-2</v>
      </c>
      <c r="J22" s="385">
        <f>IFERROR(I22*#REF!, 0)</f>
        <v>0</v>
      </c>
      <c r="K22" s="385">
        <f>K21</f>
        <v>0.21025284073243997</v>
      </c>
    </row>
    <row r="23" spans="2:11" x14ac:dyDescent="0.3">
      <c r="B23" s="399" t="str">
        <f>'CZ5 Com Savings'!D17</f>
        <v>ENERGY STAR Commercial LED Lighting</v>
      </c>
      <c r="C23" s="382"/>
      <c r="D23" s="382">
        <f>'CZ5 Com Savings'!F17</f>
        <v>0.43581771114125595</v>
      </c>
      <c r="E23" s="408">
        <v>0.5</v>
      </c>
      <c r="F23" s="383">
        <f>$F$21</f>
        <v>0.6</v>
      </c>
      <c r="G23" s="384">
        <f t="shared" ref="G23:G25" si="5">IFERROR(D23*E23*F23*$I$9*$C$21, "-")</f>
        <v>246315104.19843569</v>
      </c>
      <c r="H23" s="385">
        <f t="shared" ref="H23:H25" si="6">IFERROR(G23/($I$9*$C$21), "-")</f>
        <v>0.1307453133423768</v>
      </c>
      <c r="I23" s="400">
        <f>IFERROR(G23/($I$9), "-")</f>
        <v>2.7489573542687704E-2</v>
      </c>
      <c r="J23" s="385">
        <f>IFERROR(I23*#REF!, 0)</f>
        <v>0</v>
      </c>
      <c r="K23" s="385">
        <f>K22</f>
        <v>0.21025284073243997</v>
      </c>
    </row>
    <row r="24" spans="2:11" x14ac:dyDescent="0.3">
      <c r="B24" s="399" t="str">
        <f>'CZ5 Com Savings'!D18</f>
        <v>Prospective Commercial SSL</v>
      </c>
      <c r="C24" s="382"/>
      <c r="D24" s="382">
        <f>'CZ5 Com Savings'!F18</f>
        <v>0.61970289951117397</v>
      </c>
      <c r="E24" s="408">
        <v>0</v>
      </c>
      <c r="F24" s="383">
        <f>$F$21</f>
        <v>0.6</v>
      </c>
      <c r="G24" s="384">
        <f t="shared" si="5"/>
        <v>0</v>
      </c>
      <c r="H24" s="385">
        <f t="shared" si="6"/>
        <v>0</v>
      </c>
      <c r="I24" s="400">
        <f>IFERROR(G24/($I$9), "-")</f>
        <v>0</v>
      </c>
      <c r="J24" s="385">
        <f>IFERROR(I24*#REF!, 0)</f>
        <v>0</v>
      </c>
      <c r="K24" s="385">
        <f>K23</f>
        <v>0.21025284073243997</v>
      </c>
    </row>
    <row r="25" spans="2:11" x14ac:dyDescent="0.3">
      <c r="B25" s="399" t="s">
        <v>940</v>
      </c>
      <c r="C25" s="382"/>
      <c r="D25" s="382"/>
      <c r="E25" s="408"/>
      <c r="F25" s="383">
        <f>$F$21</f>
        <v>0.6</v>
      </c>
      <c r="G25" s="384">
        <f t="shared" si="5"/>
        <v>0</v>
      </c>
      <c r="H25" s="385">
        <f t="shared" si="6"/>
        <v>0</v>
      </c>
      <c r="I25" s="400">
        <f>IFERROR(G25/($I$9), "-")</f>
        <v>0</v>
      </c>
      <c r="J25" s="385"/>
      <c r="K25" s="385">
        <f>K24</f>
        <v>0.21025284073243997</v>
      </c>
    </row>
    <row r="26" spans="2:11" x14ac:dyDescent="0.3">
      <c r="B26" s="397" t="s">
        <v>1060</v>
      </c>
      <c r="C26" s="379">
        <f>Table12[[#This Row],[End Use % of Total Sector Use2]]</f>
        <v>0</v>
      </c>
      <c r="D26" s="379"/>
      <c r="E26" s="379">
        <f>SUM(E27:E30)</f>
        <v>1</v>
      </c>
      <c r="F26" s="380">
        <v>0.75</v>
      </c>
      <c r="G26" s="381">
        <f>SUM(G27:G30)</f>
        <v>0</v>
      </c>
      <c r="H26" s="379" t="str">
        <f>IFERROR(G26/($I$9*$C$26), "0%")</f>
        <v>0%</v>
      </c>
      <c r="I26" s="398">
        <f>SUM(I27:I30)</f>
        <v>0</v>
      </c>
      <c r="J26" s="379">
        <f>IFERROR(I26*#REF!, 0)</f>
        <v>0</v>
      </c>
      <c r="K26" s="379">
        <f>ComRefBldg_Miami!A105</f>
        <v>0</v>
      </c>
    </row>
    <row r="27" spans="2:11" x14ac:dyDescent="0.3">
      <c r="B27" s="399" t="str">
        <f>'CZ5 Com Savings'!D24</f>
        <v>ENERGY STAR Electric HPWH (Com.)</v>
      </c>
      <c r="C27" s="382"/>
      <c r="D27" s="382">
        <f>'CZ5 Com Savings'!F24</f>
        <v>0.54242181107944365</v>
      </c>
      <c r="E27" s="408">
        <v>0.25</v>
      </c>
      <c r="F27" s="383">
        <f>$F$26</f>
        <v>0.75</v>
      </c>
      <c r="G27" s="384">
        <f>IFERROR(D27*E27*F27*$I$9*$C$26, "-")</f>
        <v>0</v>
      </c>
      <c r="H27" s="385" t="str">
        <f>IFERROR(G27/($I$9*$C$26), "0%")</f>
        <v>0%</v>
      </c>
      <c r="I27" s="400">
        <f>IFERROR(G27/($I$9), "-")</f>
        <v>0</v>
      </c>
      <c r="J27" s="385">
        <f>IFERROR(I27*#REF!, 0)</f>
        <v>0</v>
      </c>
      <c r="K27" s="385">
        <f>K26</f>
        <v>0</v>
      </c>
    </row>
    <row r="28" spans="2:11" x14ac:dyDescent="0.3">
      <c r="B28" s="399" t="str">
        <f>'CZ5 Com Savings'!D25</f>
        <v>Prospective Commercial CO2 HPWH</v>
      </c>
      <c r="C28" s="382"/>
      <c r="D28" s="382">
        <f>'CZ5 Com Savings'!F25</f>
        <v>0.70026990733379224</v>
      </c>
      <c r="E28" s="408">
        <v>0.25</v>
      </c>
      <c r="F28" s="383">
        <f>$F$26</f>
        <v>0.75</v>
      </c>
      <c r="G28" s="384">
        <f t="shared" ref="G28:G30" si="7">IFERROR(D28*E28*F28*$I$9*$C$26, "-")</f>
        <v>0</v>
      </c>
      <c r="H28" s="385" t="str">
        <f t="shared" ref="H28:H30" si="8">IFERROR(G28/($I$9*$C$26), "0%")</f>
        <v>0%</v>
      </c>
      <c r="I28" s="400">
        <f>IFERROR(G28/($I$9), "-")</f>
        <v>0</v>
      </c>
      <c r="J28" s="385">
        <f>IFERROR(I28*#REF!, 0)</f>
        <v>0</v>
      </c>
      <c r="K28" s="385">
        <f>K27</f>
        <v>0</v>
      </c>
    </row>
    <row r="29" spans="2:11" x14ac:dyDescent="0.3">
      <c r="B29" s="399" t="str">
        <f>'CZ5 Com Savings'!D26</f>
        <v>Prospective Commercial Non-CO2 HPWH</v>
      </c>
      <c r="C29" s="382"/>
      <c r="D29" s="382">
        <f>'CZ5 Com Savings'!F26</f>
        <v>0.65207210348796918</v>
      </c>
      <c r="E29" s="408">
        <v>0.25</v>
      </c>
      <c r="F29" s="383">
        <f>$F$26</f>
        <v>0.75</v>
      </c>
      <c r="G29" s="384">
        <f t="shared" si="7"/>
        <v>0</v>
      </c>
      <c r="H29" s="385" t="str">
        <f t="shared" si="8"/>
        <v>0%</v>
      </c>
      <c r="I29" s="400">
        <f>IFERROR(G29/($I$9), "-")</f>
        <v>0</v>
      </c>
      <c r="J29" s="385">
        <f>IFERROR(I29*#REF!, 0)</f>
        <v>0</v>
      </c>
      <c r="K29" s="385">
        <f>K28</f>
        <v>0</v>
      </c>
    </row>
    <row r="30" spans="2:11" x14ac:dyDescent="0.3">
      <c r="B30" s="399" t="str">
        <f>'CZ5 Com Savings'!D27</f>
        <v>Prospective Commercial NVC HPWH</v>
      </c>
      <c r="C30" s="382"/>
      <c r="D30" s="382">
        <f>'CZ5 Com Savings'!F27</f>
        <v>0.45695959681651754</v>
      </c>
      <c r="E30" s="408">
        <v>0.25</v>
      </c>
      <c r="F30" s="383">
        <f>$F$26</f>
        <v>0.75</v>
      </c>
      <c r="G30" s="384">
        <f t="shared" si="7"/>
        <v>0</v>
      </c>
      <c r="H30" s="385" t="str">
        <f t="shared" si="8"/>
        <v>0%</v>
      </c>
      <c r="I30" s="400">
        <f>IFERROR(G30/($I$9), "-")</f>
        <v>0</v>
      </c>
      <c r="J30" s="385">
        <f>IFERROR(I30*#REF!, 0)</f>
        <v>0</v>
      </c>
      <c r="K30" s="385">
        <f>K29</f>
        <v>0</v>
      </c>
    </row>
    <row r="31" spans="2:11" x14ac:dyDescent="0.3">
      <c r="B31" s="397" t="s">
        <v>21</v>
      </c>
      <c r="C31" s="379">
        <f>Table12[[#This Row],[End Use % of Total Sector Use2]]</f>
        <v>9.946685736205026E-3</v>
      </c>
      <c r="D31" s="379"/>
      <c r="E31" s="379">
        <f>SUM(E32:E34)</f>
        <v>1</v>
      </c>
      <c r="F31" s="380">
        <v>0.65</v>
      </c>
      <c r="G31" s="381">
        <f>SUM(G32:G34)</f>
        <v>9373480.0392031595</v>
      </c>
      <c r="H31" s="379">
        <f>IFERROR(G31/($I$9*$C$31), "-")</f>
        <v>0.10517182759727743</v>
      </c>
      <c r="I31" s="398">
        <f>SUM(I32:I34)</f>
        <v>1.0461111174124536E-3</v>
      </c>
      <c r="J31" s="379">
        <f>IFERROR(I31*#REF!, 0)</f>
        <v>0</v>
      </c>
      <c r="K31" s="379">
        <f>ComRefBldg_Miami!A106</f>
        <v>9.946685736205026E-3</v>
      </c>
    </row>
    <row r="32" spans="2:11" x14ac:dyDescent="0.3">
      <c r="B32" s="399" t="str">
        <f>'CZ5 Com Savings'!D19</f>
        <v>Best Commercial Refrigeration</v>
      </c>
      <c r="C32" s="382"/>
      <c r="D32" s="382">
        <f>'CZ5 Com Savings'!F19</f>
        <v>0.14644756854235469</v>
      </c>
      <c r="E32" s="408">
        <v>0.9</v>
      </c>
      <c r="F32" s="383">
        <f>$F$31</f>
        <v>0.65</v>
      </c>
      <c r="G32" s="384">
        <f>IFERROR(D32*E32*F32*$I$9*$C$31, "-")</f>
        <v>7635534.9550464908</v>
      </c>
      <c r="H32" s="385">
        <f>IFERROR(G32/($I$9*$C$31), "-")</f>
        <v>8.5671827597277497E-2</v>
      </c>
      <c r="I32" s="400">
        <f>IFERROR(G32/($I$9), "-")</f>
        <v>8.5215074555645618E-4</v>
      </c>
      <c r="J32" s="385">
        <f>IFERROR(I32*#REF!, 0)</f>
        <v>0</v>
      </c>
      <c r="K32" s="385">
        <f>K31</f>
        <v>9.946685736205026E-3</v>
      </c>
    </row>
    <row r="33" spans="2:11" x14ac:dyDescent="0.3">
      <c r="B33" s="399" t="str">
        <f>'CZ5 Com Savings'!D20</f>
        <v>Prospective Commercial Adv Refrigerator</v>
      </c>
      <c r="C33" s="382"/>
      <c r="D33" s="382">
        <f>'CZ5 Com Savings'!F20</f>
        <v>0.27999999999999914</v>
      </c>
      <c r="E33" s="408">
        <v>0.05</v>
      </c>
      <c r="F33" s="383">
        <f>$F$31</f>
        <v>0.65</v>
      </c>
      <c r="G33" s="384">
        <f t="shared" ref="G33:G34" si="9">IFERROR(D33*E33*F33*$I$9*$C$31, "-")</f>
        <v>811041.03927311255</v>
      </c>
      <c r="H33" s="385">
        <f t="shared" ref="H33:H34" si="10">IFERROR(G33/($I$9*$C$31), "-")</f>
        <v>9.0999999999999727E-3</v>
      </c>
      <c r="I33" s="400">
        <f>IFERROR(G33/($I$9), "-")</f>
        <v>9.051484019946547E-5</v>
      </c>
      <c r="J33" s="385">
        <f>IFERROR(I33*#REF!, 0)</f>
        <v>0</v>
      </c>
      <c r="K33" s="385">
        <f>K32</f>
        <v>9.946685736205026E-3</v>
      </c>
    </row>
    <row r="34" spans="2:11" x14ac:dyDescent="0.3">
      <c r="B34" s="399" t="str">
        <f>'CZ5 Com Savings'!D21</f>
        <v>Prospective Commercial NVC Refrigerator</v>
      </c>
      <c r="C34" s="382"/>
      <c r="D34" s="382">
        <f>'CZ5 Com Savings'!F21</f>
        <v>0.31999999999999901</v>
      </c>
      <c r="E34" s="408">
        <v>0.05</v>
      </c>
      <c r="F34" s="383">
        <f>$F$31</f>
        <v>0.65</v>
      </c>
      <c r="G34" s="384">
        <f t="shared" si="9"/>
        <v>926904.04488355713</v>
      </c>
      <c r="H34" s="385">
        <f t="shared" si="10"/>
        <v>1.0399999999999968E-2</v>
      </c>
      <c r="I34" s="400">
        <f>IFERROR(G34/($I$9), "-")</f>
        <v>1.0344553165653196E-4</v>
      </c>
      <c r="J34" s="385">
        <f>IFERROR(I34*#REF!, 0)</f>
        <v>0</v>
      </c>
      <c r="K34" s="385">
        <f>K33</f>
        <v>9.946685736205026E-3</v>
      </c>
    </row>
    <row r="35" spans="2:11" x14ac:dyDescent="0.3">
      <c r="B35" s="397" t="s">
        <v>448</v>
      </c>
      <c r="C35" s="379">
        <f>Table12[[#This Row],[End Use % of Total Sector Use2]]</f>
        <v>1</v>
      </c>
      <c r="D35" s="379"/>
      <c r="E35" s="386">
        <f>SUM(E36:E42)</f>
        <v>1</v>
      </c>
      <c r="F35" s="380">
        <v>0.5</v>
      </c>
      <c r="G35" s="381">
        <f>SUM(G36:J44)</f>
        <v>1938377029.7940032</v>
      </c>
      <c r="H35" s="379">
        <f>IFERROR(G35/($I$9*$C$35), "-")</f>
        <v>0.21632923440639421</v>
      </c>
      <c r="I35" s="398">
        <f>SUM(I36:I44)</f>
        <v>0.21632923435810811</v>
      </c>
      <c r="J35" s="379">
        <f>IFERROR(I35*#REF!, 0)</f>
        <v>0</v>
      </c>
      <c r="K35" s="379">
        <v>1</v>
      </c>
    </row>
    <row r="36" spans="2:11" x14ac:dyDescent="0.3">
      <c r="B36" s="399" t="str">
        <f>'CZ5 Com Savings'!D2</f>
        <v>Best Commercial Roofs</v>
      </c>
      <c r="C36" s="382"/>
      <c r="D36" s="382">
        <f>'CZ5 Com Savings'!F2</f>
        <v>0.12246819389632319</v>
      </c>
      <c r="E36" s="408">
        <v>0.1</v>
      </c>
      <c r="F36" s="383">
        <f>$F$35</f>
        <v>0.5</v>
      </c>
      <c r="G36" s="384">
        <f>IFERROR(D36*E36*F36*$I$9*$C$35, "-")</f>
        <v>54867649.899558447</v>
      </c>
      <c r="H36" s="385">
        <f>IFERROR(G36/($I$9*$C$35), "-")</f>
        <v>6.1234096948161593E-3</v>
      </c>
      <c r="I36" s="400">
        <f t="shared" ref="I36:I44" si="11">IFERROR(G36/($I$9), "-")</f>
        <v>6.1234096948161593E-3</v>
      </c>
      <c r="J36" s="385">
        <f>IFERROR(I36*#REF!, 0)</f>
        <v>0</v>
      </c>
      <c r="K36" s="385">
        <f t="shared" ref="K36:K44" si="12">K35</f>
        <v>1</v>
      </c>
    </row>
    <row r="37" spans="2:11" x14ac:dyDescent="0.3">
      <c r="B37" s="399" t="str">
        <f>'CZ5 Com Savings'!D3</f>
        <v>Best Commercial Walls</v>
      </c>
      <c r="C37" s="382"/>
      <c r="D37" s="382">
        <f>'CZ5 Com Savings'!F3</f>
        <v>0.73493259531111432</v>
      </c>
      <c r="E37" s="408">
        <v>0.1</v>
      </c>
      <c r="F37" s="383">
        <f>$F$35</f>
        <v>0.5</v>
      </c>
      <c r="G37" s="384">
        <f t="shared" ref="G37:G44" si="13">IFERROR(D37*E37*F37*$I$9*$C$35, "-")</f>
        <v>329261198.81739128</v>
      </c>
      <c r="H37" s="385">
        <f t="shared" ref="H37:H44" si="14">IFERROR(G37/($I$9*$C$35), "-")</f>
        <v>3.6746629765555719E-2</v>
      </c>
      <c r="I37" s="400">
        <f t="shared" si="11"/>
        <v>3.6746629765555719E-2</v>
      </c>
      <c r="J37" s="385">
        <f>IFERROR(I37*#REF!, 0)</f>
        <v>0</v>
      </c>
      <c r="K37" s="385">
        <f t="shared" si="12"/>
        <v>1</v>
      </c>
    </row>
    <row r="38" spans="2:11" x14ac:dyDescent="0.3">
      <c r="B38" s="399" t="str">
        <f>'CZ5 Com Savings'!D4</f>
        <v>Com. Air Sealing (Exist), 90.1 c. 2016</v>
      </c>
      <c r="C38" s="382"/>
      <c r="D38" s="382">
        <f>'CZ5 Com Savings'!F4</f>
        <v>0.73333333333333339</v>
      </c>
      <c r="E38" s="408">
        <v>0.15</v>
      </c>
      <c r="F38" s="383">
        <f>$F$35</f>
        <v>0.5</v>
      </c>
      <c r="G38" s="384">
        <f t="shared" si="13"/>
        <v>492817056.9789573</v>
      </c>
      <c r="H38" s="385">
        <f t="shared" si="14"/>
        <v>5.5E-2</v>
      </c>
      <c r="I38" s="400">
        <f t="shared" si="11"/>
        <v>5.5E-2</v>
      </c>
      <c r="J38" s="385">
        <f>IFERROR(I38*#REF!, 0)</f>
        <v>0</v>
      </c>
      <c r="K38" s="385">
        <f t="shared" si="12"/>
        <v>1</v>
      </c>
    </row>
    <row r="39" spans="2:11" x14ac:dyDescent="0.3">
      <c r="B39" s="399" t="str">
        <f>'CZ5 Com Savings'!D5</f>
        <v>Commercial Fenestration, 90.1 c. 2016</v>
      </c>
      <c r="C39" s="382"/>
      <c r="D39" s="382">
        <f>'CZ5 Com Savings'!F5</f>
        <v>0.39017849771704166</v>
      </c>
      <c r="E39" s="408">
        <v>0.25</v>
      </c>
      <c r="F39" s="383">
        <f>$F$35</f>
        <v>0.5</v>
      </c>
      <c r="G39" s="384">
        <f t="shared" si="13"/>
        <v>437015043.04859835</v>
      </c>
      <c r="H39" s="385">
        <f t="shared" si="14"/>
        <v>4.8772312214630208E-2</v>
      </c>
      <c r="I39" s="400">
        <f t="shared" si="11"/>
        <v>4.8772312214630208E-2</v>
      </c>
      <c r="J39" s="385">
        <f>IFERROR(I39*#REF!, 0)</f>
        <v>0</v>
      </c>
      <c r="K39" s="385">
        <f t="shared" si="12"/>
        <v>1</v>
      </c>
    </row>
    <row r="40" spans="2:11" x14ac:dyDescent="0.3">
      <c r="B40" s="399" t="str">
        <f>'CZ5 Com Savings'!D6</f>
        <v>Commercial Floors, 90.1 c. 2016</v>
      </c>
      <c r="C40" s="382"/>
      <c r="D40" s="382">
        <f>'CZ5 Com Savings'!F6</f>
        <v>0</v>
      </c>
      <c r="E40" s="408">
        <v>0.1</v>
      </c>
      <c r="F40" s="383">
        <f>$F$35</f>
        <v>0.5</v>
      </c>
      <c r="G40" s="384">
        <f t="shared" si="13"/>
        <v>0</v>
      </c>
      <c r="H40" s="385">
        <f t="shared" si="14"/>
        <v>0</v>
      </c>
      <c r="I40" s="400">
        <f t="shared" si="11"/>
        <v>0</v>
      </c>
      <c r="J40" s="385">
        <f>IFERROR(I40*#REF!, 0)</f>
        <v>0</v>
      </c>
      <c r="K40" s="385">
        <f t="shared" si="12"/>
        <v>1</v>
      </c>
    </row>
    <row r="41" spans="2:11" x14ac:dyDescent="0.3">
      <c r="B41" s="399" t="str">
        <f>'CZ5 Com Savings'!D7</f>
        <v>Commercial Roofs, 90.1 c. 2016</v>
      </c>
      <c r="C41" s="382"/>
      <c r="D41" s="382">
        <f>'CZ5 Com Savings'!F7</f>
        <v>5.3354424998871414E-2</v>
      </c>
      <c r="E41" s="408">
        <v>0.1</v>
      </c>
      <c r="F41" s="383">
        <f t="shared" ref="F41:F44" si="15">$F$35</f>
        <v>0.5</v>
      </c>
      <c r="G41" s="384">
        <f t="shared" si="13"/>
        <v>23903609.731589381</v>
      </c>
      <c r="H41" s="385">
        <f t="shared" si="14"/>
        <v>2.6677212499435707E-3</v>
      </c>
      <c r="I41" s="400">
        <f t="shared" si="11"/>
        <v>2.6677212499435707E-3</v>
      </c>
      <c r="J41" s="385">
        <f>IFERROR(I41*#REF!, 0)</f>
        <v>0</v>
      </c>
      <c r="K41" s="385">
        <f t="shared" si="12"/>
        <v>1</v>
      </c>
    </row>
    <row r="42" spans="2:11" x14ac:dyDescent="0.3">
      <c r="B42" s="399" t="str">
        <f>'CZ5 Com Savings'!D8</f>
        <v>Commercial Walls, 90.1 c. 2016</v>
      </c>
      <c r="C42" s="382"/>
      <c r="D42" s="382">
        <f>'CZ5 Com Savings'!F8</f>
        <v>0.67019161433162444</v>
      </c>
      <c r="E42" s="408">
        <v>0.2</v>
      </c>
      <c r="F42" s="383">
        <f t="shared" si="15"/>
        <v>0.5</v>
      </c>
      <c r="G42" s="384">
        <f t="shared" si="13"/>
        <v>600512470.88525009</v>
      </c>
      <c r="H42" s="385">
        <f t="shared" si="14"/>
        <v>6.7019161433162444E-2</v>
      </c>
      <c r="I42" s="400">
        <f t="shared" si="11"/>
        <v>6.7019161433162444E-2</v>
      </c>
      <c r="J42" s="385">
        <f>IFERROR(I42*#REF!, 0)</f>
        <v>0</v>
      </c>
      <c r="K42" s="385">
        <f t="shared" si="12"/>
        <v>1</v>
      </c>
    </row>
    <row r="43" spans="2:11" x14ac:dyDescent="0.3">
      <c r="B43" s="399" t="s">
        <v>938</v>
      </c>
      <c r="C43" s="382"/>
      <c r="D43" s="382"/>
      <c r="E43" s="408"/>
      <c r="F43" s="383">
        <f t="shared" si="15"/>
        <v>0.5</v>
      </c>
      <c r="G43" s="384">
        <f t="shared" si="13"/>
        <v>0</v>
      </c>
      <c r="H43" s="385">
        <f t="shared" si="14"/>
        <v>0</v>
      </c>
      <c r="I43" s="400">
        <f t="shared" si="11"/>
        <v>0</v>
      </c>
      <c r="J43" s="385"/>
      <c r="K43" s="385">
        <f t="shared" si="12"/>
        <v>1</v>
      </c>
    </row>
    <row r="44" spans="2:11" x14ac:dyDescent="0.3">
      <c r="B44" s="399" t="s">
        <v>939</v>
      </c>
      <c r="C44" s="382"/>
      <c r="D44" s="382"/>
      <c r="E44" s="408"/>
      <c r="F44" s="383">
        <f t="shared" si="15"/>
        <v>0.5</v>
      </c>
      <c r="G44" s="384">
        <f t="shared" si="13"/>
        <v>0</v>
      </c>
      <c r="H44" s="385">
        <f t="shared" si="14"/>
        <v>0</v>
      </c>
      <c r="I44" s="400">
        <f t="shared" si="11"/>
        <v>0</v>
      </c>
      <c r="J44" s="385"/>
      <c r="K44" s="385">
        <f t="shared" si="12"/>
        <v>1</v>
      </c>
    </row>
    <row r="45" spans="2:11" x14ac:dyDescent="0.3">
      <c r="B45" s="397" t="s">
        <v>899</v>
      </c>
      <c r="C45" s="379">
        <f>Table12[[#This Row],[End Use % of Total Sector Use2]]</f>
        <v>1</v>
      </c>
      <c r="D45" s="379"/>
      <c r="E45" s="386">
        <f>SUM(E46:E47)</f>
        <v>1</v>
      </c>
      <c r="F45" s="380">
        <v>0.5</v>
      </c>
      <c r="G45" s="381">
        <f>SUM(G46:G47)</f>
        <v>336011629.7583819</v>
      </c>
      <c r="H45" s="379">
        <f>IFERROR(G45/($I$9*$C$45), "-")</f>
        <v>3.7500000000000214E-2</v>
      </c>
      <c r="I45" s="398">
        <f>SUM(I46:I47)</f>
        <v>3.7500000000000214E-2</v>
      </c>
      <c r="J45" s="379">
        <f>IFERROR(I45*#REF!, 0)</f>
        <v>0</v>
      </c>
      <c r="K45" s="379">
        <v>1</v>
      </c>
    </row>
    <row r="46" spans="2:11" x14ac:dyDescent="0.3">
      <c r="B46" s="399" t="str">
        <f>'CZ5 Com Savings'!D22</f>
        <v>Prospective Commercial Comfort Ctl.</v>
      </c>
      <c r="C46" s="382"/>
      <c r="D46" s="382">
        <f>'CZ5 Com Savings'!F22</f>
        <v>0</v>
      </c>
      <c r="E46" s="408">
        <v>0.5</v>
      </c>
      <c r="F46" s="383">
        <f>F45</f>
        <v>0.5</v>
      </c>
      <c r="G46" s="384">
        <f>IFERROR(D46*E46*F46*$I$9*$C$45, "-")</f>
        <v>0</v>
      </c>
      <c r="H46" s="385">
        <f>IFERROR(G46/($I$9*$C$45), "-")</f>
        <v>0</v>
      </c>
      <c r="I46" s="400">
        <f>IFERROR(G46/($I$9), "-")</f>
        <v>0</v>
      </c>
      <c r="J46" s="385">
        <f>IFERROR(I46*#REF!, 0)</f>
        <v>0</v>
      </c>
      <c r="K46" s="385">
        <f>K45</f>
        <v>1</v>
      </c>
    </row>
    <row r="47" spans="2:11" x14ac:dyDescent="0.3">
      <c r="B47" s="399" t="str">
        <f>'CZ5 Com Savings'!D23</f>
        <v>Prospective Commercial Occupancy Ctl.</v>
      </c>
      <c r="C47" s="382"/>
      <c r="D47" s="382">
        <f>'CZ5 Com Savings'!F23</f>
        <v>0.15000000000000085</v>
      </c>
      <c r="E47" s="408">
        <v>0.5</v>
      </c>
      <c r="F47" s="383">
        <f>F45</f>
        <v>0.5</v>
      </c>
      <c r="G47" s="384">
        <f>IFERROR(D47*E47*F47*$I$9*$C$45, "-")</f>
        <v>336011629.7583819</v>
      </c>
      <c r="H47" s="385">
        <f>IFERROR(G47/($I$9*$C$45), "-")</f>
        <v>3.7500000000000214E-2</v>
      </c>
      <c r="I47" s="400">
        <f>IFERROR(G47/($I$9), "-")</f>
        <v>3.7500000000000214E-2</v>
      </c>
      <c r="J47" s="385">
        <f>IFERROR(I47*#REF!, 0)</f>
        <v>0</v>
      </c>
      <c r="K47" s="385">
        <f>K46</f>
        <v>1</v>
      </c>
    </row>
    <row r="48" spans="2:11" x14ac:dyDescent="0.3">
      <c r="B48" s="397" t="s">
        <v>8</v>
      </c>
      <c r="C48" s="379">
        <f>Table12[[#This Row],[End Use % of Total Sector Use2]]</f>
        <v>0</v>
      </c>
      <c r="D48" s="379"/>
      <c r="E48" s="379">
        <f>E49</f>
        <v>1</v>
      </c>
      <c r="F48" s="380">
        <v>0.2</v>
      </c>
      <c r="G48" s="381">
        <f>G49</f>
        <v>0</v>
      </c>
      <c r="H48" s="379" t="str">
        <f>IFERROR(G48/($I$9*$C$48), "0%")</f>
        <v>0%</v>
      </c>
      <c r="I48" s="398">
        <f>I49</f>
        <v>0</v>
      </c>
      <c r="J48" s="379">
        <f>IFERROR(I48*#REF!, 0)</f>
        <v>0</v>
      </c>
      <c r="K48" s="379">
        <f>ComRefBldg_Miami!A107</f>
        <v>0</v>
      </c>
    </row>
    <row r="49" spans="2:11" x14ac:dyDescent="0.3">
      <c r="B49" s="399" t="s">
        <v>910</v>
      </c>
      <c r="C49" s="382"/>
      <c r="D49" s="382">
        <v>0</v>
      </c>
      <c r="E49" s="408">
        <v>1</v>
      </c>
      <c r="F49" s="383">
        <f>F48</f>
        <v>0.2</v>
      </c>
      <c r="G49" s="384">
        <f>IFERROR(D49*E49*F49*$I$9*$C$48, "-")</f>
        <v>0</v>
      </c>
      <c r="H49" s="385" t="str">
        <f>IFERROR(G49/($I$9*$C$48), "0%")</f>
        <v>0%</v>
      </c>
      <c r="I49" s="400">
        <f>IFERROR(G49/($I$9), "-")</f>
        <v>0</v>
      </c>
      <c r="J49" s="385">
        <f>IFERROR(I49*#REF!, 0)</f>
        <v>0</v>
      </c>
      <c r="K49" s="385">
        <f>K48</f>
        <v>0</v>
      </c>
    </row>
    <row r="50" spans="2:11" x14ac:dyDescent="0.3">
      <c r="B50" s="397" t="s">
        <v>911</v>
      </c>
      <c r="C50" s="379">
        <f>Table12[[#This Row],[End Use % of Total Sector Use2]]</f>
        <v>0.23765824065639074</v>
      </c>
      <c r="D50" s="379"/>
      <c r="E50" s="379">
        <f>E51</f>
        <v>1</v>
      </c>
      <c r="F50" s="380">
        <v>0.4</v>
      </c>
      <c r="G50" s="381">
        <f>G51</f>
        <v>212949154.04923505</v>
      </c>
      <c r="H50" s="379">
        <f>IFERROR(G50/($I$9*$C$50), "-")</f>
        <v>0.1</v>
      </c>
      <c r="I50" s="398">
        <f>I51</f>
        <v>2.3765824065639075E-2</v>
      </c>
      <c r="J50" s="379"/>
      <c r="K50" s="379">
        <f>ComRefBldg_Miami!A98+ComRefBldg_Miami!A99+ComRefBldg_Miami!A102+ComRefBldg_Miami!A101</f>
        <v>0.23765824065639074</v>
      </c>
    </row>
    <row r="51" spans="2:11" ht="15" thickBot="1" x14ac:dyDescent="0.35">
      <c r="B51" s="401" t="s">
        <v>1027</v>
      </c>
      <c r="C51" s="402"/>
      <c r="D51" s="402">
        <v>0.25</v>
      </c>
      <c r="E51" s="409">
        <v>1</v>
      </c>
      <c r="F51" s="403">
        <f>F50</f>
        <v>0.4</v>
      </c>
      <c r="G51" s="404">
        <f>IFERROR(D51*E51*F51*$I$9*$C$50, "-")</f>
        <v>212949154.04923505</v>
      </c>
      <c r="H51" s="407">
        <f>IFERROR(G51/($I$9*$C$50), "-")</f>
        <v>0.1</v>
      </c>
      <c r="I51" s="405">
        <f>IFERROR(G51/($I$9), "-")</f>
        <v>2.3765824065639075E-2</v>
      </c>
      <c r="J51" s="377"/>
      <c r="K51" s="385">
        <f>K50</f>
        <v>0.23765824065639074</v>
      </c>
    </row>
    <row r="52" spans="2:11" x14ac:dyDescent="0.3">
      <c r="B52" s="108"/>
      <c r="H52" s="106"/>
      <c r="I52" s="106"/>
      <c r="J52" s="106"/>
    </row>
    <row r="53" spans="2:11" x14ac:dyDescent="0.3">
      <c r="B53" s="328" t="s">
        <v>918</v>
      </c>
      <c r="F53" s="1"/>
      <c r="G53" s="20"/>
      <c r="H53" s="106"/>
      <c r="I53" s="106"/>
      <c r="J53" s="106"/>
    </row>
    <row r="54" spans="2:11" x14ac:dyDescent="0.3">
      <c r="B54" s="108"/>
      <c r="H54" s="106"/>
      <c r="I54" s="106"/>
      <c r="J54" s="106"/>
    </row>
  </sheetData>
  <mergeCells count="5">
    <mergeCell ref="G9:H9"/>
    <mergeCell ref="G5:H5"/>
    <mergeCell ref="G8:H8"/>
    <mergeCell ref="B1:K2"/>
    <mergeCell ref="G7:H7"/>
  </mergeCells>
  <conditionalFormatting sqref="E47">
    <cfRule type="containsText" dxfId="3" priority="1" operator="containsText" text="ON">
      <formula>NOT(ISERROR(SEARCH("ON",E47)))</formula>
    </cfRule>
    <cfRule type="containsText" dxfId="2" priority="2" operator="containsText" text="OFF">
      <formula>NOT(ISERROR(SEARCH("OFF",E47)))</formula>
    </cfRule>
  </conditionalFormatting>
  <hyperlinks>
    <hyperlink ref="E14" r:id="rId1" display="25@%" xr:uid="{DFAF24DB-4558-4F5B-B2B0-D2E33BD11A10}"/>
  </hyperlinks>
  <pageMargins left="0.7" right="0.7" top="0.75" bottom="0.75" header="0.3" footer="0.3"/>
  <pageSetup orientation="portrait" r:id="rId2"/>
  <ignoredErrors>
    <ignoredError sqref="I31:K31 I35:J35 G35 I48:J48 K48:K50 I21 I26 G45 I49:I50 K21 K26 G26 G21 G48:G49 G31 I45 G50" formula="1"/>
    <ignoredError sqref="H21:H25 H26:H30 H31:H47 H50:H51 H48:H49" calculatedColumn="1"/>
  </ignoredError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77E99-A3EA-4340-BD6B-925A046A6E58}">
  <sheetPr codeName="Sheet8"/>
  <dimension ref="A1:AF71"/>
  <sheetViews>
    <sheetView workbookViewId="0">
      <selection activeCell="C10" sqref="C10"/>
    </sheetView>
  </sheetViews>
  <sheetFormatPr defaultColWidth="8.6640625" defaultRowHeight="14.4" x14ac:dyDescent="0.3"/>
  <cols>
    <col min="1" max="1" width="13.6640625" customWidth="1"/>
    <col min="2" max="2" width="38.109375" customWidth="1"/>
    <col min="3" max="3" width="52.44140625" customWidth="1"/>
    <col min="4" max="4" width="15.44140625" bestFit="1" customWidth="1"/>
    <col min="5" max="5" width="17.44140625" bestFit="1" customWidth="1"/>
    <col min="6" max="8" width="18.33203125" hidden="1" customWidth="1"/>
    <col min="9" max="9" width="11" hidden="1" customWidth="1"/>
    <col min="10" max="27" width="7.44140625" hidden="1" customWidth="1"/>
    <col min="28" max="30" width="9" hidden="1" customWidth="1"/>
    <col min="31" max="31" width="19.33203125" hidden="1" customWidth="1"/>
    <col min="32" max="32" width="20.33203125" hidden="1" customWidth="1"/>
  </cols>
  <sheetData>
    <row r="1" spans="1:31" ht="15" thickBot="1" x14ac:dyDescent="0.35">
      <c r="A1" s="17" t="s">
        <v>50</v>
      </c>
      <c r="G1" t="s">
        <v>283</v>
      </c>
    </row>
    <row r="2" spans="1:31" ht="21" x14ac:dyDescent="0.4">
      <c r="A2" s="17"/>
      <c r="C2" s="66" t="s">
        <v>909</v>
      </c>
      <c r="G2">
        <v>2020</v>
      </c>
      <c r="H2">
        <f t="shared" ref="H2:AA2" si="0">G2+1</f>
        <v>2021</v>
      </c>
      <c r="I2">
        <f t="shared" si="0"/>
        <v>2022</v>
      </c>
      <c r="J2">
        <f t="shared" si="0"/>
        <v>2023</v>
      </c>
      <c r="K2">
        <f t="shared" si="0"/>
        <v>2024</v>
      </c>
      <c r="L2">
        <f t="shared" si="0"/>
        <v>2025</v>
      </c>
      <c r="M2">
        <f t="shared" si="0"/>
        <v>2026</v>
      </c>
      <c r="N2">
        <f t="shared" si="0"/>
        <v>2027</v>
      </c>
      <c r="O2">
        <f t="shared" si="0"/>
        <v>2028</v>
      </c>
      <c r="P2">
        <f t="shared" si="0"/>
        <v>2029</v>
      </c>
      <c r="Q2">
        <f t="shared" si="0"/>
        <v>2030</v>
      </c>
      <c r="R2">
        <f t="shared" si="0"/>
        <v>2031</v>
      </c>
      <c r="S2">
        <f t="shared" si="0"/>
        <v>2032</v>
      </c>
      <c r="T2">
        <f t="shared" si="0"/>
        <v>2033</v>
      </c>
      <c r="U2">
        <f t="shared" si="0"/>
        <v>2034</v>
      </c>
      <c r="V2">
        <f t="shared" si="0"/>
        <v>2035</v>
      </c>
      <c r="W2">
        <f t="shared" si="0"/>
        <v>2036</v>
      </c>
      <c r="X2">
        <f t="shared" si="0"/>
        <v>2037</v>
      </c>
      <c r="Y2">
        <f t="shared" si="0"/>
        <v>2038</v>
      </c>
      <c r="Z2">
        <f t="shared" si="0"/>
        <v>2039</v>
      </c>
      <c r="AA2">
        <f t="shared" si="0"/>
        <v>2040</v>
      </c>
    </row>
    <row r="3" spans="1:31" ht="21.6" thickBot="1" x14ac:dyDescent="0.45">
      <c r="A3" s="17"/>
      <c r="C3" s="67">
        <f>SUM(Table189[Realized Savings])</f>
        <v>1.657577773943842</v>
      </c>
      <c r="F3" s="25" t="s">
        <v>280</v>
      </c>
      <c r="G3" s="23">
        <f t="shared" ref="G3:AA3" si="1">$C$3/COUNT($G$2:$AA$2)</f>
        <v>7.8932274949706754E-2</v>
      </c>
      <c r="H3" s="23">
        <f t="shared" si="1"/>
        <v>7.8932274949706754E-2</v>
      </c>
      <c r="I3" s="23">
        <f t="shared" si="1"/>
        <v>7.8932274949706754E-2</v>
      </c>
      <c r="J3" s="23">
        <f t="shared" si="1"/>
        <v>7.8932274949706754E-2</v>
      </c>
      <c r="K3" s="23">
        <f t="shared" si="1"/>
        <v>7.8932274949706754E-2</v>
      </c>
      <c r="L3" s="23">
        <f t="shared" si="1"/>
        <v>7.8932274949706754E-2</v>
      </c>
      <c r="M3" s="23">
        <f t="shared" si="1"/>
        <v>7.8932274949706754E-2</v>
      </c>
      <c r="N3" s="23">
        <f t="shared" si="1"/>
        <v>7.8932274949706754E-2</v>
      </c>
      <c r="O3" s="23">
        <f t="shared" si="1"/>
        <v>7.8932274949706754E-2</v>
      </c>
      <c r="P3" s="23">
        <f t="shared" si="1"/>
        <v>7.8932274949706754E-2</v>
      </c>
      <c r="Q3" s="23">
        <f t="shared" si="1"/>
        <v>7.8932274949706754E-2</v>
      </c>
      <c r="R3" s="23">
        <f t="shared" si="1"/>
        <v>7.8932274949706754E-2</v>
      </c>
      <c r="S3" s="23">
        <f t="shared" si="1"/>
        <v>7.8932274949706754E-2</v>
      </c>
      <c r="T3" s="23">
        <f t="shared" si="1"/>
        <v>7.8932274949706754E-2</v>
      </c>
      <c r="U3" s="23">
        <f t="shared" si="1"/>
        <v>7.8932274949706754E-2</v>
      </c>
      <c r="V3" s="23">
        <f t="shared" si="1"/>
        <v>7.8932274949706754E-2</v>
      </c>
      <c r="W3" s="23">
        <f t="shared" si="1"/>
        <v>7.8932274949706754E-2</v>
      </c>
      <c r="X3" s="23">
        <f t="shared" si="1"/>
        <v>7.8932274949706754E-2</v>
      </c>
      <c r="Y3" s="23">
        <f t="shared" si="1"/>
        <v>7.8932274949706754E-2</v>
      </c>
      <c r="Z3" s="23">
        <f t="shared" si="1"/>
        <v>7.8932274949706754E-2</v>
      </c>
      <c r="AA3" s="23">
        <f t="shared" si="1"/>
        <v>7.8932274949706754E-2</v>
      </c>
      <c r="AB3" s="63"/>
    </row>
    <row r="4" spans="1:31" ht="15" thickBot="1" x14ac:dyDescent="0.35">
      <c r="A4" s="17"/>
      <c r="F4" s="25" t="s">
        <v>281</v>
      </c>
      <c r="G4" s="9">
        <v>0.01</v>
      </c>
      <c r="H4" s="9">
        <v>0.03</v>
      </c>
      <c r="I4" s="9">
        <v>0.06</v>
      </c>
      <c r="J4" s="9">
        <v>0.1</v>
      </c>
      <c r="K4" s="9">
        <v>0.15</v>
      </c>
      <c r="L4" s="9">
        <v>0.21</v>
      </c>
      <c r="M4" s="9">
        <v>0.28000000000000003</v>
      </c>
      <c r="N4" s="9">
        <v>0.36</v>
      </c>
      <c r="O4" s="9">
        <v>0.45</v>
      </c>
      <c r="P4" s="9">
        <v>0.55000000000000004</v>
      </c>
      <c r="Q4" s="9">
        <v>0.64</v>
      </c>
      <c r="R4" s="9">
        <v>0.72</v>
      </c>
      <c r="S4" s="9">
        <v>0.79</v>
      </c>
      <c r="T4" s="9">
        <v>0.85</v>
      </c>
      <c r="U4" s="9">
        <v>0.9</v>
      </c>
      <c r="V4" s="9">
        <v>0.94</v>
      </c>
      <c r="W4" s="9">
        <v>0.97</v>
      </c>
      <c r="X4" s="9">
        <v>0.99</v>
      </c>
      <c r="Y4" s="9">
        <v>1</v>
      </c>
      <c r="Z4" s="9">
        <v>1</v>
      </c>
      <c r="AA4" s="9">
        <v>1</v>
      </c>
    </row>
    <row r="5" spans="1:31" ht="18" x14ac:dyDescent="0.35">
      <c r="A5" s="17"/>
      <c r="C5" s="218" t="s">
        <v>386</v>
      </c>
      <c r="G5" s="9">
        <f>G4</f>
        <v>0.01</v>
      </c>
      <c r="H5" s="9">
        <f t="shared" ref="H5:AA5" si="2">H4-G4</f>
        <v>1.9999999999999997E-2</v>
      </c>
      <c r="I5" s="9">
        <f t="shared" si="2"/>
        <v>0.03</v>
      </c>
      <c r="J5" s="9">
        <f t="shared" si="2"/>
        <v>4.0000000000000008E-2</v>
      </c>
      <c r="K5" s="9">
        <f t="shared" si="2"/>
        <v>4.9999999999999989E-2</v>
      </c>
      <c r="L5" s="9">
        <f t="shared" si="2"/>
        <v>0.06</v>
      </c>
      <c r="M5" s="9">
        <f t="shared" si="2"/>
        <v>7.0000000000000034E-2</v>
      </c>
      <c r="N5" s="9">
        <f t="shared" si="2"/>
        <v>7.999999999999996E-2</v>
      </c>
      <c r="O5" s="9">
        <f t="shared" si="2"/>
        <v>9.0000000000000024E-2</v>
      </c>
      <c r="P5" s="9">
        <f t="shared" si="2"/>
        <v>0.10000000000000003</v>
      </c>
      <c r="Q5" s="9">
        <f t="shared" si="2"/>
        <v>8.9999999999999969E-2</v>
      </c>
      <c r="R5" s="9">
        <f t="shared" si="2"/>
        <v>7.999999999999996E-2</v>
      </c>
      <c r="S5" s="9">
        <f t="shared" si="2"/>
        <v>7.0000000000000062E-2</v>
      </c>
      <c r="T5" s="9">
        <f t="shared" si="2"/>
        <v>5.9999999999999942E-2</v>
      </c>
      <c r="U5" s="9">
        <f t="shared" si="2"/>
        <v>5.0000000000000044E-2</v>
      </c>
      <c r="V5" s="9">
        <f t="shared" si="2"/>
        <v>3.9999999999999925E-2</v>
      </c>
      <c r="W5" s="9">
        <f t="shared" si="2"/>
        <v>3.0000000000000027E-2</v>
      </c>
      <c r="X5" s="9">
        <f t="shared" si="2"/>
        <v>2.0000000000000018E-2</v>
      </c>
      <c r="Y5" s="9">
        <f t="shared" si="2"/>
        <v>1.0000000000000009E-2</v>
      </c>
      <c r="Z5" s="9">
        <f t="shared" si="2"/>
        <v>0</v>
      </c>
      <c r="AA5" s="9">
        <f t="shared" si="2"/>
        <v>0</v>
      </c>
    </row>
    <row r="6" spans="1:31" ht="18.600000000000001" thickBot="1" x14ac:dyDescent="0.4">
      <c r="C6" s="217">
        <v>1</v>
      </c>
      <c r="F6" s="25" t="s">
        <v>282</v>
      </c>
      <c r="G6" s="63">
        <f t="shared" ref="G6:AA6" si="3">G5*$C$3</f>
        <v>1.657577773943842E-2</v>
      </c>
      <c r="H6" s="63">
        <f t="shared" si="3"/>
        <v>3.3151555478876833E-2</v>
      </c>
      <c r="I6" s="63">
        <f t="shared" si="3"/>
        <v>4.972733321831526E-2</v>
      </c>
      <c r="J6" s="63">
        <f t="shared" si="3"/>
        <v>6.6303110957753694E-2</v>
      </c>
      <c r="K6" s="63">
        <f t="shared" si="3"/>
        <v>8.287888869719208E-2</v>
      </c>
      <c r="L6" s="63">
        <f t="shared" si="3"/>
        <v>9.9454666436630521E-2</v>
      </c>
      <c r="M6" s="63">
        <f t="shared" si="3"/>
        <v>0.11603044417606899</v>
      </c>
      <c r="N6" s="63">
        <f t="shared" si="3"/>
        <v>0.13260622191550731</v>
      </c>
      <c r="O6" s="63">
        <f t="shared" si="3"/>
        <v>0.14918199965494583</v>
      </c>
      <c r="P6" s="63">
        <f t="shared" si="3"/>
        <v>0.16575777739438424</v>
      </c>
      <c r="Q6" s="63">
        <f t="shared" si="3"/>
        <v>0.14918199965494572</v>
      </c>
      <c r="R6" s="63">
        <f t="shared" si="3"/>
        <v>0.13260622191550731</v>
      </c>
      <c r="S6" s="63">
        <f t="shared" si="3"/>
        <v>0.11603044417606904</v>
      </c>
      <c r="T6" s="63">
        <f t="shared" si="3"/>
        <v>9.9454666436630423E-2</v>
      </c>
      <c r="U6" s="63">
        <f t="shared" si="3"/>
        <v>8.2878888697192177E-2</v>
      </c>
      <c r="V6" s="63">
        <f t="shared" si="3"/>
        <v>6.6303110957753555E-2</v>
      </c>
      <c r="W6" s="63">
        <f t="shared" si="3"/>
        <v>4.9727333218315302E-2</v>
      </c>
      <c r="X6" s="63">
        <f t="shared" si="3"/>
        <v>3.3151555478876868E-2</v>
      </c>
      <c r="Y6" s="63">
        <f t="shared" si="3"/>
        <v>1.6575777739438434E-2</v>
      </c>
      <c r="Z6" s="63">
        <f t="shared" si="3"/>
        <v>0</v>
      </c>
      <c r="AA6" s="63">
        <f t="shared" si="3"/>
        <v>0</v>
      </c>
    </row>
    <row r="7" spans="1:31" x14ac:dyDescent="0.3">
      <c r="F7" s="25"/>
    </row>
    <row r="9" spans="1:31" x14ac:dyDescent="0.3">
      <c r="B9" s="27" t="s">
        <v>908</v>
      </c>
      <c r="C9" s="27" t="s">
        <v>507</v>
      </c>
      <c r="D9" t="s">
        <v>552</v>
      </c>
      <c r="E9" t="s">
        <v>553</v>
      </c>
    </row>
    <row r="10" spans="1:31" x14ac:dyDescent="0.3">
      <c r="B10" t="str">
        <f>'CZ5 Com Savings'!D2</f>
        <v>Best Commercial Roofs</v>
      </c>
      <c r="C10" s="171">
        <f>'CZ5 Com Savings'!F2</f>
        <v>0.12246819389632319</v>
      </c>
      <c r="D10" s="216">
        <v>0.2</v>
      </c>
      <c r="E10" s="172">
        <f>Table189[[#This Row],[PERCENT SAVINGS]]*Table189[[#This Row],[ADOPTION %*]]</f>
        <v>2.4493638779264637E-2</v>
      </c>
      <c r="G10" t="s">
        <v>280</v>
      </c>
      <c r="H10" t="s">
        <v>284</v>
      </c>
      <c r="I10">
        <f t="shared" ref="I10:AC10" si="4">G2</f>
        <v>2020</v>
      </c>
      <c r="J10">
        <f t="shared" si="4"/>
        <v>2021</v>
      </c>
      <c r="K10">
        <f t="shared" si="4"/>
        <v>2022</v>
      </c>
      <c r="L10">
        <f t="shared" si="4"/>
        <v>2023</v>
      </c>
      <c r="M10">
        <f t="shared" si="4"/>
        <v>2024</v>
      </c>
      <c r="N10">
        <f t="shared" si="4"/>
        <v>2025</v>
      </c>
      <c r="O10">
        <f t="shared" si="4"/>
        <v>2026</v>
      </c>
      <c r="P10">
        <f t="shared" si="4"/>
        <v>2027</v>
      </c>
      <c r="Q10">
        <f t="shared" si="4"/>
        <v>2028</v>
      </c>
      <c r="R10">
        <f t="shared" si="4"/>
        <v>2029</v>
      </c>
      <c r="S10">
        <f t="shared" si="4"/>
        <v>2030</v>
      </c>
      <c r="T10">
        <f t="shared" si="4"/>
        <v>2031</v>
      </c>
      <c r="U10">
        <f t="shared" si="4"/>
        <v>2032</v>
      </c>
      <c r="V10">
        <f t="shared" si="4"/>
        <v>2033</v>
      </c>
      <c r="W10">
        <f t="shared" si="4"/>
        <v>2034</v>
      </c>
      <c r="X10">
        <f t="shared" si="4"/>
        <v>2035</v>
      </c>
      <c r="Y10">
        <f t="shared" si="4"/>
        <v>2036</v>
      </c>
      <c r="Z10">
        <f t="shared" si="4"/>
        <v>2037</v>
      </c>
      <c r="AA10">
        <f t="shared" si="4"/>
        <v>2038</v>
      </c>
      <c r="AB10">
        <f t="shared" si="4"/>
        <v>2039</v>
      </c>
      <c r="AC10">
        <f t="shared" si="4"/>
        <v>2040</v>
      </c>
    </row>
    <row r="11" spans="1:31" x14ac:dyDescent="0.3">
      <c r="B11" t="str">
        <f>'CZ5 Com Savings'!D3</f>
        <v>Best Commercial Walls</v>
      </c>
      <c r="C11" s="171">
        <f>'CZ5 Com Savings'!F3</f>
        <v>0.73493259531111432</v>
      </c>
      <c r="D11" s="216">
        <v>0.2</v>
      </c>
      <c r="E11" s="172">
        <f>Table189[[#This Row],[PERCENT SAVINGS]]*Table189[[#This Row],[ADOPTION %*]]</f>
        <v>0.14698651906222288</v>
      </c>
      <c r="G11" t="s">
        <v>13</v>
      </c>
      <c r="H11" s="1">
        <v>0.33</v>
      </c>
      <c r="I11" s="63">
        <f t="shared" ref="I11:R13" si="5">$H11*G$3</f>
        <v>2.6047650733403229E-2</v>
      </c>
      <c r="J11" s="63">
        <f t="shared" si="5"/>
        <v>2.6047650733403229E-2</v>
      </c>
      <c r="K11" s="63">
        <f t="shared" si="5"/>
        <v>2.6047650733403229E-2</v>
      </c>
      <c r="L11" s="63">
        <f t="shared" si="5"/>
        <v>2.6047650733403229E-2</v>
      </c>
      <c r="M11" s="63">
        <f t="shared" si="5"/>
        <v>2.6047650733403229E-2</v>
      </c>
      <c r="N11" s="63">
        <f t="shared" si="5"/>
        <v>2.6047650733403229E-2</v>
      </c>
      <c r="O11" s="63">
        <f t="shared" si="5"/>
        <v>2.6047650733403229E-2</v>
      </c>
      <c r="P11" s="63">
        <f t="shared" si="5"/>
        <v>2.6047650733403229E-2</v>
      </c>
      <c r="Q11" s="63">
        <f t="shared" si="5"/>
        <v>2.6047650733403229E-2</v>
      </c>
      <c r="R11" s="63">
        <f t="shared" si="5"/>
        <v>2.6047650733403229E-2</v>
      </c>
      <c r="S11" s="63">
        <f t="shared" ref="S11:AB13" si="6">$H11*Q$3</f>
        <v>2.6047650733403229E-2</v>
      </c>
      <c r="T11" s="63">
        <f t="shared" si="6"/>
        <v>2.6047650733403229E-2</v>
      </c>
      <c r="U11" s="63">
        <f t="shared" si="6"/>
        <v>2.6047650733403229E-2</v>
      </c>
      <c r="V11" s="63">
        <f t="shared" si="6"/>
        <v>2.6047650733403229E-2</v>
      </c>
      <c r="W11" s="63">
        <f t="shared" si="6"/>
        <v>2.6047650733403229E-2</v>
      </c>
      <c r="X11" s="63">
        <f t="shared" si="6"/>
        <v>2.6047650733403229E-2</v>
      </c>
      <c r="Y11" s="63">
        <f t="shared" si="6"/>
        <v>2.6047650733403229E-2</v>
      </c>
      <c r="Z11" s="63">
        <f t="shared" si="6"/>
        <v>2.6047650733403229E-2</v>
      </c>
      <c r="AA11" s="63">
        <f t="shared" si="6"/>
        <v>2.6047650733403229E-2</v>
      </c>
      <c r="AB11" s="63">
        <f t="shared" si="6"/>
        <v>2.6047650733403229E-2</v>
      </c>
      <c r="AC11" s="63">
        <f>$H11*AA$3</f>
        <v>2.6047650733403229E-2</v>
      </c>
    </row>
    <row r="12" spans="1:31" x14ac:dyDescent="0.3">
      <c r="B12" t="str">
        <f>'CZ5 Com Savings'!D4</f>
        <v>Com. Air Sealing (Exist), 90.1 c. 2016</v>
      </c>
      <c r="C12" s="171">
        <f>'CZ5 Com Savings'!F4</f>
        <v>0.73333333333333339</v>
      </c>
      <c r="D12" s="216">
        <v>0.2</v>
      </c>
      <c r="E12" s="172">
        <f>Table189[[#This Row],[PERCENT SAVINGS]]*Table189[[#This Row],[ADOPTION %*]]</f>
        <v>0.1466666666666667</v>
      </c>
      <c r="G12" t="s">
        <v>15</v>
      </c>
      <c r="H12" s="1">
        <v>0.67</v>
      </c>
      <c r="I12" s="63">
        <f t="shared" si="5"/>
        <v>5.2884624216303529E-2</v>
      </c>
      <c r="J12" s="63">
        <f t="shared" si="5"/>
        <v>5.2884624216303529E-2</v>
      </c>
      <c r="K12" s="63">
        <f t="shared" si="5"/>
        <v>5.2884624216303529E-2</v>
      </c>
      <c r="L12" s="63">
        <f t="shared" si="5"/>
        <v>5.2884624216303529E-2</v>
      </c>
      <c r="M12" s="63">
        <f t="shared" si="5"/>
        <v>5.2884624216303529E-2</v>
      </c>
      <c r="N12" s="63">
        <f t="shared" si="5"/>
        <v>5.2884624216303529E-2</v>
      </c>
      <c r="O12" s="63">
        <f t="shared" si="5"/>
        <v>5.2884624216303529E-2</v>
      </c>
      <c r="P12" s="63">
        <f t="shared" si="5"/>
        <v>5.2884624216303529E-2</v>
      </c>
      <c r="Q12" s="63">
        <f t="shared" si="5"/>
        <v>5.2884624216303529E-2</v>
      </c>
      <c r="R12" s="63">
        <f t="shared" si="5"/>
        <v>5.2884624216303529E-2</v>
      </c>
      <c r="S12" s="63">
        <f t="shared" si="6"/>
        <v>5.2884624216303529E-2</v>
      </c>
      <c r="T12" s="63">
        <f t="shared" si="6"/>
        <v>5.2884624216303529E-2</v>
      </c>
      <c r="U12" s="63">
        <f t="shared" si="6"/>
        <v>5.2884624216303529E-2</v>
      </c>
      <c r="V12" s="63">
        <f t="shared" si="6"/>
        <v>5.2884624216303529E-2</v>
      </c>
      <c r="W12" s="63">
        <f t="shared" si="6"/>
        <v>5.2884624216303529E-2</v>
      </c>
      <c r="X12" s="63">
        <f t="shared" si="6"/>
        <v>5.2884624216303529E-2</v>
      </c>
      <c r="Y12" s="63">
        <f t="shared" si="6"/>
        <v>5.2884624216303529E-2</v>
      </c>
      <c r="Z12" s="63">
        <f t="shared" si="6"/>
        <v>5.2884624216303529E-2</v>
      </c>
      <c r="AA12" s="63">
        <f t="shared" si="6"/>
        <v>5.2884624216303529E-2</v>
      </c>
      <c r="AB12" s="63">
        <f t="shared" si="6"/>
        <v>5.2884624216303529E-2</v>
      </c>
      <c r="AC12" s="63">
        <f>$H12*AA$3</f>
        <v>5.2884624216303529E-2</v>
      </c>
    </row>
    <row r="13" spans="1:31" x14ac:dyDescent="0.3">
      <c r="B13" t="str">
        <f>'CZ5 Com Savings'!D5</f>
        <v>Commercial Fenestration, 90.1 c. 2016</v>
      </c>
      <c r="C13" s="171">
        <f>'CZ5 Com Savings'!F5</f>
        <v>0.39017849771704166</v>
      </c>
      <c r="D13" s="216">
        <v>0.2</v>
      </c>
      <c r="E13" s="172">
        <f>Table189[[#This Row],[PERCENT SAVINGS]]*Table189[[#This Row],[ADOPTION %*]]</f>
        <v>7.8035699543408332E-2</v>
      </c>
      <c r="G13" t="s">
        <v>14</v>
      </c>
      <c r="H13" s="1">
        <v>1</v>
      </c>
      <c r="I13" s="63">
        <f t="shared" si="5"/>
        <v>7.8932274949706754E-2</v>
      </c>
      <c r="J13" s="63">
        <f t="shared" si="5"/>
        <v>7.8932274949706754E-2</v>
      </c>
      <c r="K13" s="63">
        <f t="shared" si="5"/>
        <v>7.8932274949706754E-2</v>
      </c>
      <c r="L13" s="63">
        <f t="shared" si="5"/>
        <v>7.8932274949706754E-2</v>
      </c>
      <c r="M13" s="63">
        <f t="shared" si="5"/>
        <v>7.8932274949706754E-2</v>
      </c>
      <c r="N13" s="63">
        <f t="shared" si="5"/>
        <v>7.8932274949706754E-2</v>
      </c>
      <c r="O13" s="63">
        <f t="shared" si="5"/>
        <v>7.8932274949706754E-2</v>
      </c>
      <c r="P13" s="63">
        <f t="shared" si="5"/>
        <v>7.8932274949706754E-2</v>
      </c>
      <c r="Q13" s="63">
        <f t="shared" si="5"/>
        <v>7.8932274949706754E-2</v>
      </c>
      <c r="R13" s="63">
        <f t="shared" si="5"/>
        <v>7.8932274949706754E-2</v>
      </c>
      <c r="S13" s="63">
        <f t="shared" si="6"/>
        <v>7.8932274949706754E-2</v>
      </c>
      <c r="T13" s="63">
        <f t="shared" si="6"/>
        <v>7.8932274949706754E-2</v>
      </c>
      <c r="U13" s="63">
        <f t="shared" si="6"/>
        <v>7.8932274949706754E-2</v>
      </c>
      <c r="V13" s="63">
        <f t="shared" si="6"/>
        <v>7.8932274949706754E-2</v>
      </c>
      <c r="W13" s="63">
        <f t="shared" si="6"/>
        <v>7.8932274949706754E-2</v>
      </c>
      <c r="X13" s="63">
        <f t="shared" si="6"/>
        <v>7.8932274949706754E-2</v>
      </c>
      <c r="Y13" s="63">
        <f t="shared" si="6"/>
        <v>7.8932274949706754E-2</v>
      </c>
      <c r="Z13" s="63">
        <f t="shared" si="6"/>
        <v>7.8932274949706754E-2</v>
      </c>
      <c r="AA13" s="63">
        <f t="shared" si="6"/>
        <v>7.8932274949706754E-2</v>
      </c>
      <c r="AB13" s="63">
        <f t="shared" si="6"/>
        <v>7.8932274949706754E-2</v>
      </c>
      <c r="AC13" s="63">
        <f>$H13*AA$3</f>
        <v>7.8932274949706754E-2</v>
      </c>
    </row>
    <row r="14" spans="1:31" x14ac:dyDescent="0.3">
      <c r="B14" t="str">
        <f>'CZ5 Com Savings'!D6</f>
        <v>Commercial Floors, 90.1 c. 2016</v>
      </c>
      <c r="C14" s="171">
        <f>'CZ5 Com Savings'!F6</f>
        <v>0</v>
      </c>
      <c r="D14" s="216">
        <v>0.2</v>
      </c>
      <c r="E14" s="172">
        <f>Table189[[#This Row],[PERCENT SAVINGS]]*Table189[[#This Row],[ADOPTION %*]]</f>
        <v>0</v>
      </c>
    </row>
    <row r="15" spans="1:31" ht="15" thickBot="1" x14ac:dyDescent="0.35">
      <c r="B15" t="str">
        <f>'CZ5 Com Savings'!D7</f>
        <v>Commercial Roofs, 90.1 c. 2016</v>
      </c>
      <c r="C15" s="171">
        <f>'CZ5 Com Savings'!F7</f>
        <v>5.3354424998871414E-2</v>
      </c>
      <c r="D15" s="216">
        <v>0.2</v>
      </c>
      <c r="E15" s="172">
        <f>Table189[[#This Row],[PERCENT SAVINGS]]*Table189[[#This Row],[ADOPTION %*]]</f>
        <v>1.0670884999774283E-2</v>
      </c>
    </row>
    <row r="16" spans="1:31" x14ac:dyDescent="0.3">
      <c r="B16" t="str">
        <f>'CZ5 Com Savings'!D8</f>
        <v>Commercial Walls, 90.1 c. 2016</v>
      </c>
      <c r="C16" s="171">
        <f>'CZ5 Com Savings'!F8</f>
        <v>0.67019161433162444</v>
      </c>
      <c r="D16" s="216">
        <v>0.2</v>
      </c>
      <c r="E16" s="172">
        <f>Table189[[#This Row],[PERCENT SAVINGS]]*Table189[[#This Row],[ADOPTION %*]]</f>
        <v>0.13403832286632489</v>
      </c>
      <c r="G16" s="68" t="s">
        <v>285</v>
      </c>
      <c r="H16" s="69" t="s">
        <v>284</v>
      </c>
      <c r="I16" s="69">
        <f t="shared" ref="I16:AC16" si="7">I10</f>
        <v>2020</v>
      </c>
      <c r="J16" s="69">
        <f t="shared" si="7"/>
        <v>2021</v>
      </c>
      <c r="K16" s="69">
        <f t="shared" si="7"/>
        <v>2022</v>
      </c>
      <c r="L16" s="69">
        <f t="shared" si="7"/>
        <v>2023</v>
      </c>
      <c r="M16" s="69">
        <f t="shared" si="7"/>
        <v>2024</v>
      </c>
      <c r="N16" s="69">
        <f t="shared" si="7"/>
        <v>2025</v>
      </c>
      <c r="O16" s="69">
        <f t="shared" si="7"/>
        <v>2026</v>
      </c>
      <c r="P16" s="69">
        <f t="shared" si="7"/>
        <v>2027</v>
      </c>
      <c r="Q16" s="69">
        <f t="shared" si="7"/>
        <v>2028</v>
      </c>
      <c r="R16" s="69">
        <f t="shared" si="7"/>
        <v>2029</v>
      </c>
      <c r="S16" s="69">
        <f t="shared" si="7"/>
        <v>2030</v>
      </c>
      <c r="T16" s="69">
        <f t="shared" si="7"/>
        <v>2031</v>
      </c>
      <c r="U16" s="69">
        <f t="shared" si="7"/>
        <v>2032</v>
      </c>
      <c r="V16" s="69">
        <f t="shared" si="7"/>
        <v>2033</v>
      </c>
      <c r="W16" s="69">
        <f t="shared" si="7"/>
        <v>2034</v>
      </c>
      <c r="X16" s="69">
        <f t="shared" si="7"/>
        <v>2035</v>
      </c>
      <c r="Y16" s="69">
        <f t="shared" si="7"/>
        <v>2036</v>
      </c>
      <c r="Z16" s="69">
        <f t="shared" si="7"/>
        <v>2037</v>
      </c>
      <c r="AA16" s="69">
        <f t="shared" si="7"/>
        <v>2038</v>
      </c>
      <c r="AB16" s="69">
        <f t="shared" si="7"/>
        <v>2039</v>
      </c>
      <c r="AC16" s="69">
        <f t="shared" si="7"/>
        <v>2040</v>
      </c>
      <c r="AD16" t="s">
        <v>286</v>
      </c>
      <c r="AE16" t="s">
        <v>287</v>
      </c>
    </row>
    <row r="17" spans="2:30" x14ac:dyDescent="0.3">
      <c r="B17" t="str">
        <f>'CZ5 Com Savings'!D9</f>
        <v>Best Commercial Rooftop AC</v>
      </c>
      <c r="C17" s="171">
        <f>'CZ5 Com Savings'!F9</f>
        <v>0.15567941705875304</v>
      </c>
      <c r="D17" s="216">
        <v>0.2</v>
      </c>
      <c r="E17" s="172">
        <f>Table189[[#This Row],[PERCENT SAVINGS]]*Table189[[#This Row],[ADOPTION %*]]</f>
        <v>3.1135883411750609E-2</v>
      </c>
      <c r="G17" s="70" t="s">
        <v>13</v>
      </c>
      <c r="H17" s="173">
        <v>0.33</v>
      </c>
      <c r="I17" s="174"/>
      <c r="J17" s="174"/>
      <c r="K17" s="174"/>
      <c r="L17" s="174"/>
      <c r="M17" s="174"/>
      <c r="N17" s="174"/>
      <c r="O17" s="174"/>
      <c r="P17" s="174"/>
      <c r="Q17" s="174"/>
      <c r="R17" s="174"/>
      <c r="S17" s="174"/>
      <c r="T17" s="174"/>
      <c r="U17" s="174"/>
      <c r="V17" s="174"/>
      <c r="W17" s="174"/>
      <c r="X17" s="174"/>
      <c r="Y17" s="174"/>
      <c r="Z17" s="174"/>
      <c r="AA17" s="174"/>
      <c r="AB17" s="174"/>
      <c r="AC17" s="71"/>
    </row>
    <row r="18" spans="2:30" x14ac:dyDescent="0.3">
      <c r="B18" t="str">
        <f>'CZ5 Com Savings'!D10</f>
        <v>Commercial Chillers, 90.1 c. 2016</v>
      </c>
      <c r="C18" s="171">
        <f>'CZ5 Com Savings'!F10</f>
        <v>0.13454677716754987</v>
      </c>
      <c r="D18" s="216">
        <v>0.2</v>
      </c>
      <c r="E18" s="172">
        <f>Table189[[#This Row],[PERCENT SAVINGS]]*Table189[[#This Row],[ADOPTION %*]]</f>
        <v>2.6909355433509974E-2</v>
      </c>
      <c r="G18" s="70" t="s">
        <v>15</v>
      </c>
      <c r="H18" s="173">
        <v>0.67</v>
      </c>
      <c r="I18" s="174"/>
      <c r="J18" s="174"/>
      <c r="K18" s="174"/>
      <c r="L18" s="174"/>
      <c r="M18" s="174"/>
      <c r="N18" s="174"/>
      <c r="O18" s="174"/>
      <c r="P18" s="174"/>
      <c r="Q18" s="174"/>
      <c r="R18" s="174"/>
      <c r="S18" s="174"/>
      <c r="T18" s="174"/>
      <c r="U18" s="174"/>
      <c r="V18" s="174"/>
      <c r="W18" s="174"/>
      <c r="X18" s="174"/>
      <c r="Y18" s="174"/>
      <c r="Z18" s="174"/>
      <c r="AA18" s="174"/>
      <c r="AB18" s="174"/>
      <c r="AC18" s="71"/>
    </row>
    <row r="19" spans="2:30" x14ac:dyDescent="0.3">
      <c r="B19" t="str">
        <f>'CZ5 Com Savings'!D11</f>
        <v>ENERGY STAR RTU v. 2.2</v>
      </c>
      <c r="C19" s="171">
        <f>'CZ5 Com Savings'!F11</f>
        <v>0.10914555484091767</v>
      </c>
      <c r="D19" s="216">
        <v>0.2</v>
      </c>
      <c r="E19" s="172">
        <f>Table189[[#This Row],[PERCENT SAVINGS]]*Table189[[#This Row],[ADOPTION %*]]</f>
        <v>2.1829110968183536E-2</v>
      </c>
      <c r="G19" s="70" t="s">
        <v>13</v>
      </c>
      <c r="H19" s="173">
        <v>0.33</v>
      </c>
      <c r="I19" s="175">
        <f t="shared" ref="I19:R21" si="8">$H19*G$6</f>
        <v>5.4700066540146787E-3</v>
      </c>
      <c r="J19" s="175">
        <f t="shared" si="8"/>
        <v>1.0940013308029356E-2</v>
      </c>
      <c r="K19" s="175">
        <f t="shared" si="8"/>
        <v>1.6410019962044036E-2</v>
      </c>
      <c r="L19" s="175">
        <f t="shared" si="8"/>
        <v>2.1880026616058722E-2</v>
      </c>
      <c r="M19" s="175">
        <f t="shared" si="8"/>
        <v>2.7350033270073387E-2</v>
      </c>
      <c r="N19" s="175">
        <f t="shared" si="8"/>
        <v>3.2820039924088072E-2</v>
      </c>
      <c r="O19" s="175">
        <f t="shared" si="8"/>
        <v>3.8290046578102768E-2</v>
      </c>
      <c r="P19" s="175">
        <f t="shared" si="8"/>
        <v>4.3760053232117416E-2</v>
      </c>
      <c r="Q19" s="175">
        <f t="shared" si="8"/>
        <v>4.9230059886132126E-2</v>
      </c>
      <c r="R19" s="175">
        <f t="shared" si="8"/>
        <v>5.4700066540146801E-2</v>
      </c>
      <c r="S19" s="175">
        <f t="shared" ref="S19:AB21" si="9">$H19*Q$6</f>
        <v>4.9230059886132091E-2</v>
      </c>
      <c r="T19" s="175">
        <f t="shared" si="9"/>
        <v>4.3760053232117416E-2</v>
      </c>
      <c r="U19" s="175">
        <f t="shared" si="9"/>
        <v>3.8290046578102789E-2</v>
      </c>
      <c r="V19" s="175">
        <f t="shared" si="9"/>
        <v>3.2820039924088044E-2</v>
      </c>
      <c r="W19" s="175">
        <f t="shared" si="9"/>
        <v>2.7350033270073421E-2</v>
      </c>
      <c r="X19" s="175">
        <f t="shared" si="9"/>
        <v>2.1880026616058673E-2</v>
      </c>
      <c r="Y19" s="175">
        <f t="shared" si="9"/>
        <v>1.641001996204405E-2</v>
      </c>
      <c r="Z19" s="175">
        <f t="shared" si="9"/>
        <v>1.0940013308029366E-2</v>
      </c>
      <c r="AA19" s="175">
        <f t="shared" si="9"/>
        <v>5.470006654014683E-3</v>
      </c>
      <c r="AB19" s="175">
        <f t="shared" si="9"/>
        <v>0</v>
      </c>
      <c r="AC19" s="72">
        <f>$H19*AA$6</f>
        <v>0</v>
      </c>
      <c r="AD19" s="63">
        <f>SUM(I19:AC19)</f>
        <v>0.54700066540146786</v>
      </c>
    </row>
    <row r="20" spans="2:30" x14ac:dyDescent="0.3">
      <c r="B20" t="str">
        <f>'CZ5 Com Savings'!D12</f>
        <v>Best Rooftop Heat Pump</v>
      </c>
      <c r="C20" s="171">
        <f>'CZ5 Com Savings'!F12</f>
        <v>0.15602508030211862</v>
      </c>
      <c r="D20" s="216">
        <v>0.2</v>
      </c>
      <c r="E20" s="172">
        <f>Table189[[#This Row],[PERCENT SAVINGS]]*Table189[[#This Row],[ADOPTION %*]]</f>
        <v>3.1205016060423724E-2</v>
      </c>
      <c r="G20" s="70" t="s">
        <v>15</v>
      </c>
      <c r="H20" s="173">
        <v>0.67</v>
      </c>
      <c r="I20" s="175">
        <f t="shared" si="8"/>
        <v>1.1105771085423741E-2</v>
      </c>
      <c r="J20" s="175">
        <f t="shared" si="8"/>
        <v>2.2211542170847479E-2</v>
      </c>
      <c r="K20" s="175">
        <f t="shared" si="8"/>
        <v>3.3317313256271228E-2</v>
      </c>
      <c r="L20" s="175">
        <f t="shared" si="8"/>
        <v>4.4423084341694979E-2</v>
      </c>
      <c r="M20" s="175">
        <f t="shared" si="8"/>
        <v>5.5528855427118697E-2</v>
      </c>
      <c r="N20" s="175">
        <f t="shared" si="8"/>
        <v>6.6634626512542455E-2</v>
      </c>
      <c r="O20" s="175">
        <f t="shared" si="8"/>
        <v>7.7740397597966221E-2</v>
      </c>
      <c r="P20" s="175">
        <f t="shared" si="8"/>
        <v>8.8846168683389903E-2</v>
      </c>
      <c r="Q20" s="175">
        <f t="shared" si="8"/>
        <v>9.9951939768813711E-2</v>
      </c>
      <c r="R20" s="175">
        <f t="shared" si="8"/>
        <v>0.11105771085423745</v>
      </c>
      <c r="S20" s="175">
        <f t="shared" si="9"/>
        <v>9.9951939768813641E-2</v>
      </c>
      <c r="T20" s="175">
        <f t="shared" si="9"/>
        <v>8.8846168683389903E-2</v>
      </c>
      <c r="U20" s="175">
        <f t="shared" si="9"/>
        <v>7.7740397597966263E-2</v>
      </c>
      <c r="V20" s="175">
        <f t="shared" si="9"/>
        <v>6.6634626512542386E-2</v>
      </c>
      <c r="W20" s="175">
        <f t="shared" si="9"/>
        <v>5.5528855427118759E-2</v>
      </c>
      <c r="X20" s="175">
        <f t="shared" si="9"/>
        <v>4.4423084341694882E-2</v>
      </c>
      <c r="Y20" s="175">
        <f t="shared" si="9"/>
        <v>3.3317313256271255E-2</v>
      </c>
      <c r="Z20" s="175">
        <f t="shared" si="9"/>
        <v>2.2211542170847504E-2</v>
      </c>
      <c r="AA20" s="175">
        <f t="shared" si="9"/>
        <v>1.1105771085423752E-2</v>
      </c>
      <c r="AB20" s="175">
        <f t="shared" si="9"/>
        <v>0</v>
      </c>
      <c r="AC20" s="72">
        <f>$H20*AA$6</f>
        <v>0</v>
      </c>
      <c r="AD20" s="63">
        <f>SUM(I20:AC20)</f>
        <v>1.1105771085423741</v>
      </c>
    </row>
    <row r="21" spans="2:30" ht="15" thickBot="1" x14ac:dyDescent="0.35">
      <c r="B21" t="str">
        <f>'CZ5 Com Savings'!D13</f>
        <v>ENERGY STAR Rooftop HP v. 2.2</v>
      </c>
      <c r="C21" s="171">
        <f>'CZ5 Com Savings'!F13</f>
        <v>5.4610338665761385E-2</v>
      </c>
      <c r="D21" s="216">
        <v>0.2</v>
      </c>
      <c r="E21" s="172">
        <f>Table189[[#This Row],[PERCENT SAVINGS]]*Table189[[#This Row],[ADOPTION %*]]</f>
        <v>1.0922067733152277E-2</v>
      </c>
      <c r="G21" s="73" t="s">
        <v>14</v>
      </c>
      <c r="H21" s="74">
        <v>1</v>
      </c>
      <c r="I21" s="75">
        <f t="shared" si="8"/>
        <v>1.657577773943842E-2</v>
      </c>
      <c r="J21" s="75">
        <f t="shared" si="8"/>
        <v>3.3151555478876833E-2</v>
      </c>
      <c r="K21" s="75">
        <f t="shared" si="8"/>
        <v>4.972733321831526E-2</v>
      </c>
      <c r="L21" s="75">
        <f t="shared" si="8"/>
        <v>6.6303110957753694E-2</v>
      </c>
      <c r="M21" s="75">
        <f t="shared" si="8"/>
        <v>8.287888869719208E-2</v>
      </c>
      <c r="N21" s="75">
        <f t="shared" si="8"/>
        <v>9.9454666436630521E-2</v>
      </c>
      <c r="O21" s="75">
        <f t="shared" si="8"/>
        <v>0.11603044417606899</v>
      </c>
      <c r="P21" s="75">
        <f t="shared" si="8"/>
        <v>0.13260622191550731</v>
      </c>
      <c r="Q21" s="75">
        <f t="shared" si="8"/>
        <v>0.14918199965494583</v>
      </c>
      <c r="R21" s="75">
        <f t="shared" si="8"/>
        <v>0.16575777739438424</v>
      </c>
      <c r="S21" s="75">
        <f t="shared" si="9"/>
        <v>0.14918199965494572</v>
      </c>
      <c r="T21" s="75">
        <f t="shared" si="9"/>
        <v>0.13260622191550731</v>
      </c>
      <c r="U21" s="75">
        <f t="shared" si="9"/>
        <v>0.11603044417606904</v>
      </c>
      <c r="V21" s="75">
        <f t="shared" si="9"/>
        <v>9.9454666436630423E-2</v>
      </c>
      <c r="W21" s="75">
        <f t="shared" si="9"/>
        <v>8.2878888697192177E-2</v>
      </c>
      <c r="X21" s="75">
        <f t="shared" si="9"/>
        <v>6.6303110957753555E-2</v>
      </c>
      <c r="Y21" s="75">
        <f t="shared" si="9"/>
        <v>4.9727333218315302E-2</v>
      </c>
      <c r="Z21" s="75">
        <f t="shared" si="9"/>
        <v>3.3151555478876868E-2</v>
      </c>
      <c r="AA21" s="75">
        <f t="shared" si="9"/>
        <v>1.6575777739438434E-2</v>
      </c>
      <c r="AB21" s="75">
        <f t="shared" si="9"/>
        <v>0</v>
      </c>
      <c r="AC21" s="76">
        <f>$H21*AA$6</f>
        <v>0</v>
      </c>
      <c r="AD21" s="63">
        <f>SUM(I21:AC21)</f>
        <v>1.6575777739438422</v>
      </c>
    </row>
    <row r="22" spans="2:30" x14ac:dyDescent="0.3">
      <c r="B22" t="str">
        <f>'CZ5 Com Savings'!D14</f>
        <v>Prospective Commercial AVCT HVAC</v>
      </c>
      <c r="C22" s="171">
        <f>'CZ5 Com Savings'!F14</f>
        <v>0.45370116894515422</v>
      </c>
      <c r="D22" s="216">
        <v>0.2</v>
      </c>
      <c r="E22" s="172">
        <f>Table189[[#This Row],[PERCENT SAVINGS]]*Table189[[#This Row],[ADOPTION %*]]</f>
        <v>9.0740233789030844E-2</v>
      </c>
      <c r="I22" s="63"/>
      <c r="J22" s="63"/>
      <c r="K22" s="63"/>
      <c r="L22" s="63"/>
      <c r="M22" s="63"/>
      <c r="N22" s="63"/>
      <c r="O22" s="63"/>
      <c r="P22" s="63"/>
      <c r="Q22" s="63"/>
      <c r="R22" s="63"/>
      <c r="S22" s="63"/>
      <c r="T22" s="63"/>
      <c r="U22" s="63"/>
      <c r="V22" s="63"/>
      <c r="W22" s="63"/>
      <c r="X22" s="63"/>
      <c r="Y22" s="63"/>
      <c r="Z22" s="63"/>
      <c r="AA22" s="63"/>
      <c r="AB22" s="63"/>
      <c r="AC22" s="63"/>
    </row>
    <row r="23" spans="2:30" x14ac:dyDescent="0.3">
      <c r="B23" t="str">
        <f>'CZ5 Com Savings'!D15</f>
        <v>Prospective Commercial NVC HVAC</v>
      </c>
      <c r="C23" s="171">
        <f>'CZ5 Com Savings'!F15</f>
        <v>0.52059490336003311</v>
      </c>
      <c r="D23" s="216">
        <v>0.2</v>
      </c>
      <c r="E23" s="172">
        <f>Table189[[#This Row],[PERCENT SAVINGS]]*Table189[[#This Row],[ADOPTION %*]]</f>
        <v>0.10411898067200663</v>
      </c>
    </row>
    <row r="24" spans="2:30" x14ac:dyDescent="0.3">
      <c r="B24" t="str">
        <f>'CZ5 Com Savings'!D16</f>
        <v>Best Commercial LED Lighting</v>
      </c>
      <c r="C24" s="171">
        <f>'CZ5 Com Savings'!F16</f>
        <v>0.31513827138927969</v>
      </c>
      <c r="D24" s="216">
        <v>0.2</v>
      </c>
      <c r="E24" s="172">
        <f>Table189[[#This Row],[PERCENT SAVINGS]]*Table189[[#This Row],[ADOPTION %*]]</f>
        <v>6.3027654277855935E-2</v>
      </c>
    </row>
    <row r="25" spans="2:30" x14ac:dyDescent="0.3">
      <c r="B25" t="str">
        <f>'CZ5 Com Savings'!D17</f>
        <v>ENERGY STAR Commercial LED Lighting</v>
      </c>
      <c r="C25" s="171">
        <f>'CZ5 Com Savings'!F17</f>
        <v>0.43581771114125595</v>
      </c>
      <c r="D25" s="216">
        <v>0.2</v>
      </c>
      <c r="E25" s="172">
        <f>Table189[[#This Row],[PERCENT SAVINGS]]*Table189[[#This Row],[ADOPTION %*]]</f>
        <v>8.7163542228251192E-2</v>
      </c>
    </row>
    <row r="26" spans="2:30" x14ac:dyDescent="0.3">
      <c r="B26" t="str">
        <f>'CZ5 Com Savings'!D18</f>
        <v>Prospective Commercial SSL</v>
      </c>
      <c r="C26" s="171">
        <f>'CZ5 Com Savings'!F18</f>
        <v>0.61970289951117397</v>
      </c>
      <c r="D26" s="216">
        <v>0</v>
      </c>
      <c r="E26" s="172">
        <f>Table189[[#This Row],[PERCENT SAVINGS]]*Table189[[#This Row],[ADOPTION %*]]</f>
        <v>0</v>
      </c>
    </row>
    <row r="27" spans="2:30" x14ac:dyDescent="0.3">
      <c r="B27" t="str">
        <f>'CZ5 Com Savings'!D19</f>
        <v>Best Commercial Refrigeration</v>
      </c>
      <c r="C27" s="171">
        <f>'CZ5 Com Savings'!F19</f>
        <v>0.14644756854235469</v>
      </c>
      <c r="D27" s="216">
        <v>0.2</v>
      </c>
      <c r="E27" s="172">
        <f>Table189[[#This Row],[PERCENT SAVINGS]]*Table189[[#This Row],[ADOPTION %*]]</f>
        <v>2.9289513708470938E-2</v>
      </c>
    </row>
    <row r="28" spans="2:30" ht="15" thickBot="1" x14ac:dyDescent="0.35">
      <c r="B28" t="str">
        <f>'CZ5 Com Savings'!D20</f>
        <v>Prospective Commercial Adv Refrigerator</v>
      </c>
      <c r="C28" s="171">
        <f>'CZ5 Com Savings'!F20</f>
        <v>0.27999999999999914</v>
      </c>
      <c r="D28" s="216">
        <v>0.2</v>
      </c>
      <c r="E28" s="172">
        <f>Table189[[#This Row],[PERCENT SAVINGS]]*Table189[[#This Row],[ADOPTION %*]]</f>
        <v>5.5999999999999828E-2</v>
      </c>
      <c r="G28" s="73" t="s">
        <v>14</v>
      </c>
      <c r="H28" s="74">
        <v>1</v>
      </c>
      <c r="I28" s="75">
        <f t="shared" ref="I28:AC28" si="10">$H28*G$6</f>
        <v>1.657577773943842E-2</v>
      </c>
      <c r="J28" s="75">
        <f t="shared" si="10"/>
        <v>3.3151555478876833E-2</v>
      </c>
      <c r="K28" s="75">
        <f t="shared" si="10"/>
        <v>4.972733321831526E-2</v>
      </c>
      <c r="L28" s="75">
        <f t="shared" si="10"/>
        <v>6.6303110957753694E-2</v>
      </c>
      <c r="M28" s="75">
        <f t="shared" si="10"/>
        <v>8.287888869719208E-2</v>
      </c>
      <c r="N28" s="75">
        <f t="shared" si="10"/>
        <v>9.9454666436630521E-2</v>
      </c>
      <c r="O28" s="75">
        <f t="shared" si="10"/>
        <v>0.11603044417606899</v>
      </c>
      <c r="P28" s="75">
        <f t="shared" si="10"/>
        <v>0.13260622191550731</v>
      </c>
      <c r="Q28" s="75">
        <f t="shared" si="10"/>
        <v>0.14918199965494583</v>
      </c>
      <c r="R28" s="75">
        <f t="shared" si="10"/>
        <v>0.16575777739438424</v>
      </c>
      <c r="S28" s="75">
        <f t="shared" si="10"/>
        <v>0.14918199965494572</v>
      </c>
      <c r="T28" s="75">
        <f t="shared" si="10"/>
        <v>0.13260622191550731</v>
      </c>
      <c r="U28" s="75">
        <f t="shared" si="10"/>
        <v>0.11603044417606904</v>
      </c>
      <c r="V28" s="75">
        <f t="shared" si="10"/>
        <v>9.9454666436630423E-2</v>
      </c>
      <c r="W28" s="75">
        <f t="shared" si="10"/>
        <v>8.2878888697192177E-2</v>
      </c>
      <c r="X28" s="75">
        <f t="shared" si="10"/>
        <v>6.6303110957753555E-2</v>
      </c>
      <c r="Y28" s="75">
        <f t="shared" si="10"/>
        <v>4.9727333218315302E-2</v>
      </c>
      <c r="Z28" s="75">
        <f t="shared" si="10"/>
        <v>3.3151555478876868E-2</v>
      </c>
      <c r="AA28" s="75">
        <f t="shared" si="10"/>
        <v>1.6575777739438434E-2</v>
      </c>
      <c r="AB28" s="75">
        <f t="shared" si="10"/>
        <v>0</v>
      </c>
      <c r="AC28" s="76">
        <f t="shared" si="10"/>
        <v>0</v>
      </c>
    </row>
    <row r="29" spans="2:30" x14ac:dyDescent="0.3">
      <c r="B29" t="str">
        <f>'CZ5 Com Savings'!D21</f>
        <v>Prospective Commercial NVC Refrigerator</v>
      </c>
      <c r="C29" s="171">
        <f>'CZ5 Com Savings'!F21</f>
        <v>0.31999999999999901</v>
      </c>
      <c r="D29" s="216">
        <v>0.2</v>
      </c>
      <c r="E29" s="172">
        <f>Table189[[#This Row],[PERCENT SAVINGS]]*Table189[[#This Row],[ADOPTION %*]]</f>
        <v>6.3999999999999807E-2</v>
      </c>
    </row>
    <row r="30" spans="2:30" x14ac:dyDescent="0.3">
      <c r="B30" t="str">
        <f>'CZ5 Com Savings'!D22</f>
        <v>Prospective Commercial Comfort Ctl.</v>
      </c>
      <c r="C30" s="171">
        <f>'CZ5 Com Savings'!F22</f>
        <v>0</v>
      </c>
      <c r="D30" s="216">
        <v>0.2</v>
      </c>
      <c r="E30" s="172">
        <f>Table189[[#This Row],[PERCENT SAVINGS]]*Table189[[#This Row],[ADOPTION %*]]</f>
        <v>0</v>
      </c>
    </row>
    <row r="31" spans="2:30" x14ac:dyDescent="0.3">
      <c r="B31" t="str">
        <f>'CZ5 Com Savings'!D23</f>
        <v>Prospective Commercial Occupancy Ctl.</v>
      </c>
      <c r="C31" s="171">
        <f>'CZ5 Com Savings'!F23</f>
        <v>0.15000000000000085</v>
      </c>
      <c r="D31" s="216">
        <v>0.2</v>
      </c>
      <c r="E31" s="172">
        <f>Table189[[#This Row],[PERCENT SAVINGS]]*Table189[[#This Row],[ADOPTION %*]]</f>
        <v>3.0000000000000172E-2</v>
      </c>
    </row>
    <row r="32" spans="2:30" x14ac:dyDescent="0.3">
      <c r="B32" t="str">
        <f>'CZ5 Com Savings'!D24</f>
        <v>ENERGY STAR Electric HPWH (Com.)</v>
      </c>
      <c r="C32" s="171">
        <f>'CZ5 Com Savings'!F24</f>
        <v>0.54242181107944365</v>
      </c>
      <c r="D32" s="216">
        <v>0.2</v>
      </c>
      <c r="E32" s="172">
        <f>Table189[[#This Row],[PERCENT SAVINGS]]*Table189[[#This Row],[ADOPTION %*]]</f>
        <v>0.10848436221588874</v>
      </c>
    </row>
    <row r="33" spans="2:30" x14ac:dyDescent="0.3">
      <c r="B33" t="str">
        <f>'CZ5 Com Savings'!D25</f>
        <v>Prospective Commercial CO2 HPWH</v>
      </c>
      <c r="C33" s="171">
        <f>'CZ5 Com Savings'!F25</f>
        <v>0.70026990733379224</v>
      </c>
      <c r="D33" s="216">
        <v>0.2</v>
      </c>
      <c r="E33" s="172">
        <f>Table189[[#This Row],[PERCENT SAVINGS]]*Table189[[#This Row],[ADOPTION %*]]</f>
        <v>0.14005398146675846</v>
      </c>
    </row>
    <row r="34" spans="2:30" x14ac:dyDescent="0.3">
      <c r="B34" t="str">
        <f>'CZ5 Com Savings'!D26</f>
        <v>Prospective Commercial Non-CO2 HPWH</v>
      </c>
      <c r="C34" s="171">
        <f>'CZ5 Com Savings'!F26</f>
        <v>0.65207210348796918</v>
      </c>
      <c r="D34" s="216">
        <v>0.2</v>
      </c>
      <c r="E34" s="172">
        <f>Table189[[#This Row],[PERCENT SAVINGS]]*Table189[[#This Row],[ADOPTION %*]]</f>
        <v>0.13041442069759385</v>
      </c>
    </row>
    <row r="35" spans="2:30" x14ac:dyDescent="0.3">
      <c r="B35" t="str">
        <f>'CZ5 Com Savings'!D27</f>
        <v>Prospective Commercial NVC HPWH</v>
      </c>
      <c r="C35" s="171">
        <f>'CZ5 Com Savings'!F27</f>
        <v>0.45695959681651754</v>
      </c>
      <c r="D35" s="216">
        <v>0.2</v>
      </c>
      <c r="E35" s="172">
        <f>Table189[[#This Row],[PERCENT SAVINGS]]*Table189[[#This Row],[ADOPTION %*]]</f>
        <v>9.1391919363303514E-2</v>
      </c>
    </row>
    <row r="36" spans="2:30" x14ac:dyDescent="0.3">
      <c r="H36" s="70" t="s">
        <v>15</v>
      </c>
      <c r="I36" s="173" t="e">
        <f>#REF!</f>
        <v>#REF!</v>
      </c>
      <c r="J36" s="177" t="e">
        <f>#REF!*(1-#REF!)</f>
        <v>#REF!</v>
      </c>
      <c r="K36" s="177" t="e">
        <f>#REF!*(1-#REF!)</f>
        <v>#REF!</v>
      </c>
      <c r="L36" s="177" t="e">
        <f>#REF!*(1-#REF!)</f>
        <v>#REF!</v>
      </c>
      <c r="M36" s="177" t="e">
        <f>#REF!*(1-#REF!)</f>
        <v>#REF!</v>
      </c>
      <c r="N36" s="177" t="e">
        <f>#REF!*(1-#REF!)</f>
        <v>#REF!</v>
      </c>
      <c r="O36" s="177" t="e">
        <f>#REF!*(1-#REF!)</f>
        <v>#REF!</v>
      </c>
      <c r="P36" s="177" t="e">
        <f>#REF!*(1-#REF!)</f>
        <v>#REF!</v>
      </c>
      <c r="Q36" s="177" t="e">
        <f>#REF!*(1-#REF!)</f>
        <v>#REF!</v>
      </c>
      <c r="R36" s="177" t="e">
        <f>#REF!*(1-#REF!)</f>
        <v>#REF!</v>
      </c>
      <c r="S36" s="177" t="e">
        <f>#REF!*(1-#REF!)</f>
        <v>#REF!</v>
      </c>
      <c r="T36" s="177" t="e">
        <f>#REF!*(1-#REF!)</f>
        <v>#REF!</v>
      </c>
      <c r="U36" s="177" t="e">
        <f>#REF!*(1-#REF!)</f>
        <v>#REF!</v>
      </c>
      <c r="V36" s="177" t="e">
        <f>#REF!*(1-#REF!)</f>
        <v>#REF!</v>
      </c>
      <c r="W36" s="177" t="e">
        <f>#REF!*(1-#REF!)</f>
        <v>#REF!</v>
      </c>
      <c r="X36" s="177" t="e">
        <f>#REF!*(1-#REF!)</f>
        <v>#REF!</v>
      </c>
      <c r="Y36" s="177" t="e">
        <f>#REF!*(1-#REF!)</f>
        <v>#REF!</v>
      </c>
      <c r="Z36" s="177" t="e">
        <f>#REF!*(1-#REF!)</f>
        <v>#REF!</v>
      </c>
      <c r="AA36" s="177" t="e">
        <f>#REF!*(1-#REF!)</f>
        <v>#REF!</v>
      </c>
      <c r="AB36" s="177" t="e">
        <f>#REF!*(1-#REF!)</f>
        <v>#REF!</v>
      </c>
      <c r="AC36" s="177" t="e">
        <f>#REF!*(1-#REF!)</f>
        <v>#REF!</v>
      </c>
      <c r="AD36" s="85" t="e">
        <f>#REF!*(1-#REF!)</f>
        <v>#REF!</v>
      </c>
    </row>
    <row r="37" spans="2:30" ht="15" thickBot="1" x14ac:dyDescent="0.35">
      <c r="B37" s="215" t="s">
        <v>907</v>
      </c>
      <c r="H37" s="73" t="s">
        <v>14</v>
      </c>
      <c r="I37" s="74" t="e">
        <f>#REF!</f>
        <v>#REF!</v>
      </c>
      <c r="J37" s="86" t="e">
        <f>#REF!*(1-#REF!)</f>
        <v>#REF!</v>
      </c>
      <c r="K37" s="86" t="e">
        <f>#REF!*(1-#REF!)</f>
        <v>#REF!</v>
      </c>
      <c r="L37" s="86" t="e">
        <f>#REF!*(1-#REF!)</f>
        <v>#REF!</v>
      </c>
      <c r="M37" s="86" t="e">
        <f>#REF!*(1-#REF!)</f>
        <v>#REF!</v>
      </c>
      <c r="N37" s="86" t="e">
        <f>#REF!*(1-#REF!)</f>
        <v>#REF!</v>
      </c>
      <c r="O37" s="86" t="e">
        <f>#REF!*(1-#REF!)</f>
        <v>#REF!</v>
      </c>
      <c r="P37" s="86" t="e">
        <f>#REF!*(1-#REF!)</f>
        <v>#REF!</v>
      </c>
      <c r="Q37" s="86" t="e">
        <f>#REF!*(1-#REF!)</f>
        <v>#REF!</v>
      </c>
      <c r="R37" s="86" t="e">
        <f>#REF!*(1-#REF!)</f>
        <v>#REF!</v>
      </c>
      <c r="S37" s="86" t="e">
        <f>#REF!*(1-#REF!)</f>
        <v>#REF!</v>
      </c>
      <c r="T37" s="86" t="e">
        <f>#REF!*(1-#REF!)</f>
        <v>#REF!</v>
      </c>
      <c r="U37" s="86" t="e">
        <f>#REF!*(1-#REF!)</f>
        <v>#REF!</v>
      </c>
      <c r="V37" s="86" t="e">
        <f>#REF!*(1-#REF!)</f>
        <v>#REF!</v>
      </c>
      <c r="W37" s="86" t="e">
        <f>#REF!*(1-#REF!)</f>
        <v>#REF!</v>
      </c>
      <c r="X37" s="86" t="e">
        <f>#REF!*(1-#REF!)</f>
        <v>#REF!</v>
      </c>
      <c r="Y37" s="86" t="e">
        <f>#REF!*(1-#REF!)</f>
        <v>#REF!</v>
      </c>
      <c r="Z37" s="86" t="e">
        <f>#REF!*(1-#REF!)</f>
        <v>#REF!</v>
      </c>
      <c r="AA37" s="86" t="e">
        <f>#REF!*(1-#REF!)</f>
        <v>#REF!</v>
      </c>
      <c r="AB37" s="86" t="e">
        <f>#REF!*(1-#REF!)</f>
        <v>#REF!</v>
      </c>
      <c r="AC37" s="86" t="e">
        <f>#REF!*(1-#REF!)</f>
        <v>#REF!</v>
      </c>
      <c r="AD37" s="87" t="e">
        <f>#REF!*(1-#REF!)</f>
        <v>#REF!</v>
      </c>
    </row>
    <row r="38" spans="2:30" x14ac:dyDescent="0.3">
      <c r="B38" t="s">
        <v>580</v>
      </c>
    </row>
    <row r="39" spans="2:30" x14ac:dyDescent="0.3">
      <c r="B39" t="s">
        <v>581</v>
      </c>
    </row>
    <row r="40" spans="2:30" hidden="1" x14ac:dyDescent="0.3">
      <c r="B40" t="s">
        <v>582</v>
      </c>
    </row>
    <row r="41" spans="2:30" x14ac:dyDescent="0.3">
      <c r="B41" t="s">
        <v>906</v>
      </c>
    </row>
    <row r="42" spans="2:30" x14ac:dyDescent="0.3">
      <c r="B42" t="s">
        <v>905</v>
      </c>
    </row>
    <row r="43" spans="2:30" x14ac:dyDescent="0.3">
      <c r="B43" s="9"/>
      <c r="C43" s="14"/>
    </row>
    <row r="44" spans="2:30" x14ac:dyDescent="0.3">
      <c r="B44" s="9"/>
      <c r="C44" s="14"/>
    </row>
    <row r="45" spans="2:30" x14ac:dyDescent="0.3">
      <c r="B45" s="9"/>
      <c r="C45" s="14"/>
    </row>
    <row r="46" spans="2:30" x14ac:dyDescent="0.3">
      <c r="B46" s="9"/>
      <c r="C46" s="14"/>
    </row>
    <row r="47" spans="2:30" x14ac:dyDescent="0.3">
      <c r="B47" s="9"/>
      <c r="C47" s="14"/>
    </row>
    <row r="48" spans="2:30" x14ac:dyDescent="0.3">
      <c r="B48" s="23"/>
      <c r="C48" s="23"/>
      <c r="D48" s="23"/>
    </row>
    <row r="49" spans="2:4" x14ac:dyDescent="0.3">
      <c r="B49" s="23"/>
      <c r="C49" s="23"/>
      <c r="D49" s="23"/>
    </row>
    <row r="50" spans="2:4" x14ac:dyDescent="0.3">
      <c r="B50" s="23"/>
      <c r="C50" s="23"/>
      <c r="D50" s="23"/>
    </row>
    <row r="51" spans="2:4" x14ac:dyDescent="0.3">
      <c r="B51" s="23"/>
      <c r="C51" s="23"/>
      <c r="D51" s="23"/>
    </row>
    <row r="52" spans="2:4" x14ac:dyDescent="0.3">
      <c r="B52" s="23"/>
      <c r="C52" s="23"/>
      <c r="D52" s="23"/>
    </row>
    <row r="53" spans="2:4" x14ac:dyDescent="0.3">
      <c r="B53" s="23"/>
      <c r="C53" s="23"/>
      <c r="D53" s="23"/>
    </row>
    <row r="54" spans="2:4" x14ac:dyDescent="0.3">
      <c r="B54" s="23"/>
      <c r="C54" s="23"/>
      <c r="D54" s="23"/>
    </row>
    <row r="55" spans="2:4" x14ac:dyDescent="0.3">
      <c r="B55" s="23"/>
      <c r="C55" s="23"/>
      <c r="D55" s="23"/>
    </row>
    <row r="56" spans="2:4" x14ac:dyDescent="0.3">
      <c r="B56" s="23"/>
      <c r="C56" s="23"/>
      <c r="D56" s="23"/>
    </row>
    <row r="57" spans="2:4" x14ac:dyDescent="0.3">
      <c r="B57" s="23"/>
      <c r="C57" s="23"/>
      <c r="D57" s="23"/>
    </row>
    <row r="58" spans="2:4" x14ac:dyDescent="0.3">
      <c r="B58" s="23"/>
      <c r="C58" s="23"/>
      <c r="D58" s="23"/>
    </row>
    <row r="59" spans="2:4" x14ac:dyDescent="0.3">
      <c r="B59" s="23"/>
      <c r="C59" s="23"/>
      <c r="D59" s="23"/>
    </row>
    <row r="60" spans="2:4" x14ac:dyDescent="0.3">
      <c r="B60" s="9"/>
      <c r="C60" s="14"/>
    </row>
    <row r="61" spans="2:4" x14ac:dyDescent="0.3">
      <c r="B61" s="9"/>
      <c r="C61" s="14"/>
    </row>
    <row r="66" spans="2:4" x14ac:dyDescent="0.3">
      <c r="B66" s="23"/>
      <c r="C66" s="23"/>
      <c r="D66" s="23"/>
    </row>
    <row r="67" spans="2:4" x14ac:dyDescent="0.3">
      <c r="B67" s="23"/>
      <c r="C67" s="23"/>
      <c r="D67" s="23"/>
    </row>
    <row r="68" spans="2:4" x14ac:dyDescent="0.3">
      <c r="B68" s="23"/>
      <c r="C68" s="23"/>
      <c r="D68" s="23"/>
    </row>
    <row r="69" spans="2:4" x14ac:dyDescent="0.3">
      <c r="B69" s="23"/>
      <c r="C69" s="23"/>
      <c r="D69" s="23"/>
    </row>
    <row r="70" spans="2:4" x14ac:dyDescent="0.3">
      <c r="B70" s="23"/>
      <c r="C70" s="63"/>
      <c r="D70" s="63"/>
    </row>
    <row r="71" spans="2:4" x14ac:dyDescent="0.3">
      <c r="B71" s="23"/>
      <c r="C71" s="63"/>
      <c r="D71" s="63"/>
    </row>
  </sheetData>
  <conditionalFormatting sqref="C10:C35">
    <cfRule type="cellIs" dxfId="1" priority="1" operator="lessThan">
      <formula>0</formula>
    </cfRule>
  </conditionalFormatting>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524F-DF95-4618-96E5-8357408C7DB8}">
  <sheetPr codeName="Sheet9"/>
  <dimension ref="A1:G27"/>
  <sheetViews>
    <sheetView workbookViewId="0">
      <selection activeCell="E9" sqref="E9"/>
    </sheetView>
  </sheetViews>
  <sheetFormatPr defaultColWidth="11.44140625" defaultRowHeight="14.4" x14ac:dyDescent="0.3"/>
  <cols>
    <col min="1" max="1" width="17" bestFit="1" customWidth="1"/>
    <col min="2" max="2" width="41.33203125" hidden="1" customWidth="1"/>
    <col min="3" max="3" width="43.33203125" bestFit="1" customWidth="1"/>
    <col min="4" max="4" width="35.6640625" bestFit="1" customWidth="1"/>
    <col min="5" max="5" width="17.6640625" bestFit="1" customWidth="1"/>
    <col min="6" max="6" width="17.33203125" bestFit="1" customWidth="1"/>
  </cols>
  <sheetData>
    <row r="1" spans="1:7" s="3" customFormat="1" x14ac:dyDescent="0.3">
      <c r="B1" s="3" t="s">
        <v>904</v>
      </c>
      <c r="C1" s="3" t="s">
        <v>548</v>
      </c>
      <c r="D1" s="3" t="s">
        <v>32</v>
      </c>
      <c r="E1" s="3" t="s">
        <v>903</v>
      </c>
      <c r="F1" s="3" t="s">
        <v>902</v>
      </c>
      <c r="G1" s="3" t="s">
        <v>901</v>
      </c>
    </row>
    <row r="2" spans="1:7" x14ac:dyDescent="0.3">
      <c r="A2" t="s">
        <v>448</v>
      </c>
      <c r="B2" t="str">
        <f t="shared" ref="B2:B27" si="0">CONCATENATE("Efficient uncompeted_",D2)</f>
        <v>Efficient uncompeted_Best Commercial Roofs</v>
      </c>
      <c r="C2" t="str">
        <f>VLOOKUP($D2,'SCOUT ECMs'!$A$24:$E$464, 5)</f>
        <v>Heating (Env.), Cooling (Env.)</v>
      </c>
      <c r="D2" t="s">
        <v>819</v>
      </c>
      <c r="E2" s="111">
        <f>_xlfn.XLOOKUP(B2,'CZ5 Com_NoHeat'!$AO$3:$AO$109,'CZ5 Com_NoHeat'!$AU$3:$AU$109)</f>
        <v>3694695715.7059121</v>
      </c>
      <c r="F2" s="9">
        <f>_xlfn.XLOOKUP(B2,'CZ5 Com_NoHeat'!$AO$3:$AO$109,'CZ5 Com_NoHeat'!$CF$3:$CF$109)</f>
        <v>0.12246819389632319</v>
      </c>
    </row>
    <row r="3" spans="1:7" x14ac:dyDescent="0.3">
      <c r="A3" t="s">
        <v>448</v>
      </c>
      <c r="B3" t="str">
        <f t="shared" si="0"/>
        <v>Efficient uncompeted_Best Commercial Walls</v>
      </c>
      <c r="C3" t="str">
        <f>VLOOKUP($D3,'SCOUT ECMs'!$A$24:$E$464, 5)</f>
        <v>Heating (Env.), Cooling (Env.)</v>
      </c>
      <c r="D3" t="s">
        <v>817</v>
      </c>
      <c r="E3" s="111">
        <f>_xlfn.XLOOKUP(B3,'CZ5 Com_NoHeat'!$AO$3:$AO$109,'CZ5 Com_NoHeat'!$AU$3:$AU$109)</f>
        <v>32165756985.11932</v>
      </c>
      <c r="F3" s="9">
        <f>_xlfn.XLOOKUP(B3,'CZ5 Com_NoHeat'!$AO$3:$AO$109,'CZ5 Com_NoHeat'!$CF$3:$CF$109)</f>
        <v>0.73493259531111432</v>
      </c>
    </row>
    <row r="4" spans="1:7" x14ac:dyDescent="0.3">
      <c r="A4" t="s">
        <v>448</v>
      </c>
      <c r="B4" t="str">
        <f t="shared" si="0"/>
        <v>Efficient uncompeted_Com. Air Sealing (Exist), 90.1 c. 2016</v>
      </c>
      <c r="C4" t="str">
        <f>VLOOKUP($D4,'SCOUT ECMs'!$A$24:$E$464, 5)</f>
        <v>Heating (Env.), Cooling (Env.)</v>
      </c>
      <c r="D4" t="s">
        <v>787</v>
      </c>
      <c r="E4" s="111">
        <f>_xlfn.XLOOKUP(B4,'CZ5 Com_NoHeat'!$AO$3:$AO$109,'CZ5 Com_NoHeat'!$AU$3:$AU$109)</f>
        <v>19583319290.514523</v>
      </c>
      <c r="F4" s="9">
        <f>_xlfn.XLOOKUP(B4,'CZ5 Com_NoHeat'!$AO$3:$AO$109,'CZ5 Com_NoHeat'!$CF$3:$CF$109)</f>
        <v>0.73333333333333339</v>
      </c>
    </row>
    <row r="5" spans="1:7" x14ac:dyDescent="0.3">
      <c r="A5" t="s">
        <v>448</v>
      </c>
      <c r="B5" t="str">
        <f t="shared" si="0"/>
        <v>Efficient uncompeted_Commercial Fenestration, 90.1 c. 2016</v>
      </c>
      <c r="C5" t="str">
        <f>VLOOKUP($D5,'SCOUT ECMs'!$A$24:$E$464, 5)</f>
        <v>Heating (Env.), Cooling (Env.)</v>
      </c>
      <c r="D5" t="s">
        <v>782</v>
      </c>
      <c r="E5" s="111">
        <f>_xlfn.XLOOKUP(B5,'CZ5 Com_NoHeat'!$AO$3:$AO$109,'CZ5 Com_NoHeat'!$AU$3:$AU$109)</f>
        <v>19796588307.487309</v>
      </c>
      <c r="F5" s="9">
        <f>_xlfn.XLOOKUP(B5,'CZ5 Com_NoHeat'!$AO$3:$AO$109,'CZ5 Com_NoHeat'!$CF$3:$CF$109)</f>
        <v>0.39017849771704166</v>
      </c>
    </row>
    <row r="6" spans="1:7" x14ac:dyDescent="0.3">
      <c r="A6" t="s">
        <v>448</v>
      </c>
      <c r="B6" t="str">
        <f t="shared" si="0"/>
        <v>Efficient uncompeted_Commercial Floors, 90.1 c. 2016</v>
      </c>
      <c r="C6" t="str">
        <f>VLOOKUP($D6,'SCOUT ECMs'!$A$24:$E$464, 5)</f>
        <v>Heating (Env.), Cooling (Env.)</v>
      </c>
      <c r="D6" t="s">
        <v>781</v>
      </c>
      <c r="E6" s="111">
        <f>_xlfn.XLOOKUP(B6,'CZ5 Com_NoHeat'!$AO$3:$AO$109,'CZ5 Com_NoHeat'!$AU$3:$AU$109)</f>
        <v>0</v>
      </c>
      <c r="F6" s="9">
        <f>_xlfn.XLOOKUP(B6,'CZ5 Com_NoHeat'!$AO$3:$AO$109,'CZ5 Com_NoHeat'!$CF$3:$CF$109)</f>
        <v>0</v>
      </c>
    </row>
    <row r="7" spans="1:7" x14ac:dyDescent="0.3">
      <c r="A7" t="s">
        <v>448</v>
      </c>
      <c r="B7" t="str">
        <f t="shared" si="0"/>
        <v>Efficient uncompeted_Commercial Roofs, 90.1 c. 2016</v>
      </c>
      <c r="C7" t="str">
        <f>VLOOKUP($D7,'SCOUT ECMs'!$A$24:$E$464, 5)</f>
        <v>Heating (Env.), Cooling (Env.)</v>
      </c>
      <c r="D7" t="s">
        <v>775</v>
      </c>
      <c r="E7" s="111">
        <f>_xlfn.XLOOKUP(B7,'CZ5 Com_NoHeat'!$AO$3:$AO$109,'CZ5 Com_NoHeat'!$AU$3:$AU$109)</f>
        <v>1609629073.3589478</v>
      </c>
      <c r="F7" s="9">
        <f>_xlfn.XLOOKUP(B7,'CZ5 Com_NoHeat'!$AO$3:$AO$109,'CZ5 Com_NoHeat'!$CF$3:$CF$109)</f>
        <v>5.3354424998871414E-2</v>
      </c>
    </row>
    <row r="8" spans="1:7" x14ac:dyDescent="0.3">
      <c r="A8" t="s">
        <v>448</v>
      </c>
      <c r="B8" t="str">
        <f t="shared" si="0"/>
        <v>Efficient uncompeted_Commercial Walls, 90.1 c. 2016</v>
      </c>
      <c r="C8" t="str">
        <f>VLOOKUP($D8,'SCOUT ECMs'!$A$24:$E$464, 5)</f>
        <v>Heating (Env.), Cooling (Env.)</v>
      </c>
      <c r="D8" t="s">
        <v>774</v>
      </c>
      <c r="E8" s="111">
        <f>_xlfn.XLOOKUP(B8,'CZ5 Com_NoHeat'!$AO$3:$AO$109,'CZ5 Com_NoHeat'!$AU$3:$AU$109)</f>
        <v>29332241810.461765</v>
      </c>
      <c r="F8" s="9">
        <f>_xlfn.XLOOKUP(B8,'CZ5 Com_NoHeat'!$AO$3:$AO$109,'CZ5 Com_NoHeat'!$CF$3:$CF$109)</f>
        <v>0.67019161433162444</v>
      </c>
    </row>
    <row r="9" spans="1:7" x14ac:dyDescent="0.3">
      <c r="A9" t="s">
        <v>900</v>
      </c>
      <c r="B9" t="str">
        <f t="shared" si="0"/>
        <v>Efficient uncompeted_Best Commercial Rooftop AC</v>
      </c>
      <c r="C9" t="str">
        <f>VLOOKUP($D9,'SCOUT ECMs'!$A$24:$E$464, 5)</f>
        <v>Cooling (Equip.)</v>
      </c>
      <c r="D9" t="s">
        <v>818</v>
      </c>
      <c r="E9" s="111">
        <f>_xlfn.XLOOKUP(B9,'CZ5 Com_NoHeat'!$AO$3:$AO$109,'CZ5 Com_NoHeat'!$AU$3:$AU$109)</f>
        <v>8177482538.8176565</v>
      </c>
      <c r="F9" s="9">
        <f>_xlfn.XLOOKUP(B9,'CZ5 Com_NoHeat'!$AO$3:$AO$109,'CZ5 Com_NoHeat'!$CF$3:$CF$109)</f>
        <v>0.15567941705875304</v>
      </c>
    </row>
    <row r="10" spans="1:7" x14ac:dyDescent="0.3">
      <c r="A10" t="s">
        <v>900</v>
      </c>
      <c r="B10" t="str">
        <f t="shared" si="0"/>
        <v>Efficient uncompeted_Commercial Chillers, 90.1 c. 2016</v>
      </c>
      <c r="C10" t="str">
        <f>VLOOKUP($D10,'SCOUT ECMs'!$A$24:$E$464, 5)</f>
        <v>Cooling (Equip.)</v>
      </c>
      <c r="D10" t="s">
        <v>785</v>
      </c>
      <c r="E10" s="111">
        <f>_xlfn.XLOOKUP(B10,'CZ5 Com_NoHeat'!$AO$3:$AO$109,'CZ5 Com_NoHeat'!$AU$3:$AU$109)</f>
        <v>4996067079.1442957</v>
      </c>
      <c r="F10" s="9">
        <f>_xlfn.XLOOKUP(B10,'CZ5 Com_NoHeat'!$AO$3:$AO$109,'CZ5 Com_NoHeat'!$CF$3:$CF$109)</f>
        <v>0.13454677716754987</v>
      </c>
    </row>
    <row r="11" spans="1:7" x14ac:dyDescent="0.3">
      <c r="A11" t="s">
        <v>900</v>
      </c>
      <c r="B11" t="str">
        <f t="shared" si="0"/>
        <v>Efficient uncompeted_ENERGY STAR RTU v. 2.2</v>
      </c>
      <c r="C11" t="str">
        <f>VLOOKUP($D11,'SCOUT ECMs'!$A$24:$E$464, 5)</f>
        <v>Cooling (Equip.)</v>
      </c>
      <c r="D11" t="s">
        <v>747</v>
      </c>
      <c r="E11" s="111">
        <f>_xlfn.XLOOKUP(B11,'CZ5 Com_NoHeat'!$AO$3:$AO$109,'CZ5 Com_NoHeat'!$AU$3:$AU$109)</f>
        <v>5733165538.2826128</v>
      </c>
      <c r="F11" s="9">
        <f>_xlfn.XLOOKUP(B11,'CZ5 Com_NoHeat'!$AO$3:$AO$109,'CZ5 Com_NoHeat'!$CF$3:$CF$109)</f>
        <v>0.10914555484091767</v>
      </c>
    </row>
    <row r="12" spans="1:7" x14ac:dyDescent="0.3">
      <c r="A12" t="s">
        <v>900</v>
      </c>
      <c r="B12" t="str">
        <f t="shared" si="0"/>
        <v>Efficient uncompeted_Best Rooftop Heat Pump</v>
      </c>
      <c r="C12" t="str">
        <f>VLOOKUP($D12,'SCOUT ECMs'!$A$24:$E$464, 5)</f>
        <v>Heating (Equip.), Cooling (Equip.)</v>
      </c>
      <c r="D12" t="s">
        <v>789</v>
      </c>
      <c r="E12" s="111">
        <f>_xlfn.XLOOKUP(B12,'CZ5 Com_NoHeat'!$AO$3:$AO$109,'CZ5 Com_NoHeat'!$AU$3:$AU$109)</f>
        <v>1558441436.2754822</v>
      </c>
      <c r="F12" s="9">
        <f>_xlfn.XLOOKUP(B12,'CZ5 Com_NoHeat'!$AO$3:$AO$109,'CZ5 Com_NoHeat'!$CF$3:$CF$109)</f>
        <v>0.15602508030211862</v>
      </c>
    </row>
    <row r="13" spans="1:7" x14ac:dyDescent="0.3">
      <c r="A13" t="s">
        <v>900</v>
      </c>
      <c r="B13" t="str">
        <f t="shared" si="0"/>
        <v>Efficient uncompeted_ENERGY STAR Rooftop HP v. 2.2</v>
      </c>
      <c r="C13" t="str">
        <f>VLOOKUP($D13,'SCOUT ECMs'!$A$24:$E$464, 5)</f>
        <v>Heating (Equip.), Cooling (Equip.)</v>
      </c>
      <c r="D13" t="s">
        <v>750</v>
      </c>
      <c r="E13" s="111">
        <f>_xlfn.XLOOKUP(B13,'CZ5 Com_NoHeat'!$AO$3:$AO$109,'CZ5 Com_NoHeat'!$AU$3:$AU$109)</f>
        <v>545470090.19936419</v>
      </c>
      <c r="F13" s="9">
        <f>_xlfn.XLOOKUP(B13,'CZ5 Com_NoHeat'!$AO$3:$AO$109,'CZ5 Com_NoHeat'!$CF$3:$CF$109)</f>
        <v>5.4610338665761385E-2</v>
      </c>
    </row>
    <row r="14" spans="1:7" x14ac:dyDescent="0.3">
      <c r="A14" t="s">
        <v>900</v>
      </c>
      <c r="B14" t="str">
        <f t="shared" si="0"/>
        <v>Efficient uncompeted_Prospective Commercial AVCT HVAC</v>
      </c>
      <c r="C14" t="str">
        <f>VLOOKUP($D14,'SCOUT ECMs'!$A$24:$E$464, 5)</f>
        <v>Heating (Equip.), Cooling (Equip.)</v>
      </c>
      <c r="D14" s="40" t="s">
        <v>737</v>
      </c>
      <c r="E14" s="111">
        <f>_xlfn.XLOOKUP(B14,'CZ5 Com_NoHeat'!$AO$3:$AO$109,'CZ5 Com_NoHeat'!$AU$3:$AU$109)</f>
        <v>4933505722.7627754</v>
      </c>
      <c r="F14" s="9">
        <f>_xlfn.XLOOKUP(B14,'CZ5 Com_NoHeat'!$AO$3:$AO$109,'CZ5 Com_NoHeat'!$CF$3:$CF$109)</f>
        <v>0.45370116894515422</v>
      </c>
    </row>
    <row r="15" spans="1:7" x14ac:dyDescent="0.3">
      <c r="A15" t="s">
        <v>900</v>
      </c>
      <c r="B15" t="str">
        <f t="shared" si="0"/>
        <v>Efficient uncompeted_Prospective Commercial NVC HVAC</v>
      </c>
      <c r="C15" t="str">
        <f>VLOOKUP($D15,'SCOUT ECMs'!$A$24:$E$464, 5)</f>
        <v>Heating (Equip.), Cooling (Equip.)</v>
      </c>
      <c r="D15" s="40" t="s">
        <v>725</v>
      </c>
      <c r="E15" s="111">
        <f>_xlfn.XLOOKUP(B15,'CZ5 Com_NoHeat'!$AO$3:$AO$109,'CZ5 Com_NoHeat'!$AU$3:$AU$109)</f>
        <v>5660902176.9532499</v>
      </c>
      <c r="F15" s="9">
        <f>_xlfn.XLOOKUP(B15,'CZ5 Com_NoHeat'!$AO$3:$AO$109,'CZ5 Com_NoHeat'!$CF$3:$CF$109)</f>
        <v>0.52059490336003311</v>
      </c>
    </row>
    <row r="16" spans="1:7" x14ac:dyDescent="0.3">
      <c r="A16" t="s">
        <v>20</v>
      </c>
      <c r="B16" t="str">
        <f t="shared" si="0"/>
        <v>Efficient uncompeted_Best Commercial LED Lighting</v>
      </c>
      <c r="C16" t="str">
        <f>VLOOKUP($D16,'SCOUT ECMs'!$A$24:$E$464, 5)</f>
        <v>Lighting</v>
      </c>
      <c r="D16" t="s">
        <v>824</v>
      </c>
      <c r="E16" s="111">
        <f>_xlfn.XLOOKUP(B16,'CZ5 Com_NoHeat'!$AO$3:$AO$109,'CZ5 Com_NoHeat'!$AU$3:$AU$109)</f>
        <v>20982352137.564236</v>
      </c>
      <c r="F16" s="9">
        <f>_xlfn.XLOOKUP(B16,'CZ5 Com_NoHeat'!$AO$3:$AO$109,'CZ5 Com_NoHeat'!$CF$3:$CF$109)</f>
        <v>0.31513827138927969</v>
      </c>
    </row>
    <row r="17" spans="1:7" x14ac:dyDescent="0.3">
      <c r="A17" t="s">
        <v>20</v>
      </c>
      <c r="B17" t="str">
        <f t="shared" si="0"/>
        <v>Efficient uncompeted_ENERGY STAR Commercial LED Lighting</v>
      </c>
      <c r="C17" t="str">
        <f>VLOOKUP($D17,'SCOUT ECMs'!$A$24:$E$464, 5)</f>
        <v>Lighting</v>
      </c>
      <c r="D17" t="s">
        <v>768</v>
      </c>
      <c r="E17" s="111">
        <f>_xlfn.XLOOKUP(B17,'CZ5 Com_NoHeat'!$AO$3:$AO$109,'CZ5 Com_NoHeat'!$AU$3:$AU$109)</f>
        <v>1249976883.431947</v>
      </c>
      <c r="F17" s="9">
        <f>_xlfn.XLOOKUP(B17,'CZ5 Com_NoHeat'!$AO$3:$AO$109,'CZ5 Com_NoHeat'!$CF$3:$CF$109)</f>
        <v>0.43581771114125595</v>
      </c>
    </row>
    <row r="18" spans="1:7" x14ac:dyDescent="0.3">
      <c r="A18" t="s">
        <v>20</v>
      </c>
      <c r="B18" t="str">
        <f t="shared" si="0"/>
        <v>Efficient uncompeted_Prospective Commercial SSL</v>
      </c>
      <c r="C18" t="str">
        <f>VLOOKUP($D18,'SCOUT ECMs'!$A$24:$E$464, 5)</f>
        <v>Lighting</v>
      </c>
      <c r="D18" t="s">
        <v>720</v>
      </c>
      <c r="E18" s="111">
        <f>_xlfn.XLOOKUP(B18,'CZ5 Com_NoHeat'!$AO$3:$AO$109,'CZ5 Com_NoHeat'!$AU$3:$AU$109)</f>
        <v>41260696141.063377</v>
      </c>
      <c r="F18" s="9">
        <f>_xlfn.XLOOKUP(B18,'CZ5 Com_NoHeat'!$AO$3:$AO$109,'CZ5 Com_NoHeat'!$CF$3:$CF$109)</f>
        <v>0.61970289951117397</v>
      </c>
    </row>
    <row r="19" spans="1:7" x14ac:dyDescent="0.3">
      <c r="A19" t="s">
        <v>21</v>
      </c>
      <c r="B19" t="str">
        <f t="shared" si="0"/>
        <v>Efficient uncompeted_Best Commercial Refrigeration</v>
      </c>
      <c r="C19" t="str">
        <f>VLOOKUP($D19,'SCOUT ECMs'!$A$24:$E$464, 5)</f>
        <v>Refrigeration</v>
      </c>
      <c r="D19" t="s">
        <v>820</v>
      </c>
      <c r="E19" s="111">
        <f>_xlfn.XLOOKUP(B19,'CZ5 Com_NoHeat'!$AO$3:$AO$109,'CZ5 Com_NoHeat'!$AU$3:$AU$109)</f>
        <v>11646361433.05195</v>
      </c>
      <c r="F19" s="9">
        <f>_xlfn.XLOOKUP(B19,'CZ5 Com_NoHeat'!$AO$3:$AO$109,'CZ5 Com_NoHeat'!$CF$3:$CF$109)</f>
        <v>0.14644756854235469</v>
      </c>
    </row>
    <row r="20" spans="1:7" x14ac:dyDescent="0.3">
      <c r="A20" t="s">
        <v>21</v>
      </c>
      <c r="B20" t="str">
        <f t="shared" si="0"/>
        <v>Efficient uncompeted_Prospective Commercial Adv Refrigerator</v>
      </c>
      <c r="C20" t="str">
        <f>VLOOKUP($D20,'SCOUT ECMs'!$A$24:$E$464, 5)</f>
        <v>Refrigeration</v>
      </c>
      <c r="D20" t="s">
        <v>738</v>
      </c>
      <c r="E20" s="111">
        <f>_xlfn.XLOOKUP(B20,'CZ5 Com_NoHeat'!$AO$3:$AO$109,'CZ5 Com_NoHeat'!$AU$3:$AU$109)</f>
        <v>26588089525.83147</v>
      </c>
      <c r="F20" s="9">
        <f>_xlfn.XLOOKUP(B20,'CZ5 Com_NoHeat'!$AO$3:$AO$109,'CZ5 Com_NoHeat'!$CF$3:$CF$109)</f>
        <v>0.27999999999999914</v>
      </c>
    </row>
    <row r="21" spans="1:7" x14ac:dyDescent="0.3">
      <c r="A21" t="s">
        <v>21</v>
      </c>
      <c r="B21" t="str">
        <f t="shared" si="0"/>
        <v>Efficient uncompeted_Prospective Commercial NVC Refrigerator</v>
      </c>
      <c r="C21" t="str">
        <f>VLOOKUP($D21,'SCOUT ECMs'!$A$24:$E$464, 5)</f>
        <v>Refrigeration</v>
      </c>
      <c r="D21" t="s">
        <v>723</v>
      </c>
      <c r="E21" s="111">
        <f>_xlfn.XLOOKUP(B21,'CZ5 Com_NoHeat'!$AO$3:$AO$109,'CZ5 Com_NoHeat'!$AU$3:$AU$109)</f>
        <v>30386388029.521679</v>
      </c>
      <c r="F21" s="9">
        <f>_xlfn.XLOOKUP(B21,'CZ5 Com_NoHeat'!$AO$3:$AO$109,'CZ5 Com_NoHeat'!$CF$3:$CF$109)</f>
        <v>0.31999999999999901</v>
      </c>
    </row>
    <row r="22" spans="1:7" x14ac:dyDescent="0.3">
      <c r="A22" t="s">
        <v>899</v>
      </c>
      <c r="B22" t="str">
        <f t="shared" si="0"/>
        <v>Efficient uncompeted_Prospective Commercial Comfort Ctl.</v>
      </c>
      <c r="C22" t="str">
        <f>VLOOKUP($D22,'SCOUT ECMs'!$A$24:$E$464, 5)</f>
        <v>Heating (Equip.), Cooling (Equip.), Ventilation, Lighting</v>
      </c>
      <c r="D22" t="s">
        <v>733</v>
      </c>
      <c r="E22" s="111">
        <f>_xlfn.XLOOKUP(B22,'CZ5 Com_NoHeat'!$AO$3:$AO$109,'CZ5 Com_NoHeat'!$AU$3:$AU$109)</f>
        <v>0</v>
      </c>
      <c r="F22" s="9">
        <f>_xlfn.XLOOKUP(B22,'CZ5 Com_NoHeat'!$AO$3:$AO$109,'CZ5 Com_NoHeat'!$CF$3:$CF$109)</f>
        <v>0</v>
      </c>
    </row>
    <row r="23" spans="1:7" x14ac:dyDescent="0.3">
      <c r="A23" t="s">
        <v>899</v>
      </c>
      <c r="B23" t="str">
        <f t="shared" si="0"/>
        <v>Efficient uncompeted_Prospective Commercial Occupancy Ctl.</v>
      </c>
      <c r="C23" t="str">
        <f>VLOOKUP($D23,'SCOUT ECMs'!$A$24:$E$464, 5)</f>
        <v>Heating (Equip.), Cooling (Equip.), Ventilation, Lighting</v>
      </c>
      <c r="D23" t="s">
        <v>722</v>
      </c>
      <c r="E23" s="111">
        <f>_xlfn.XLOOKUP(B23,'CZ5 Com_NoHeat'!$AO$3:$AO$109,'CZ5 Com_NoHeat'!$AU$3:$AU$109)</f>
        <v>6025608315.5364275</v>
      </c>
      <c r="F23" s="9">
        <f>_xlfn.XLOOKUP(B23,'CZ5 Com_NoHeat'!$AO$3:$AO$109,'CZ5 Com_NoHeat'!$CF$3:$CF$109)</f>
        <v>0.15000000000000085</v>
      </c>
      <c r="G23" t="s">
        <v>898</v>
      </c>
    </row>
    <row r="24" spans="1:7" x14ac:dyDescent="0.3">
      <c r="A24" t="s">
        <v>22</v>
      </c>
      <c r="B24" t="str">
        <f t="shared" si="0"/>
        <v>Efficient uncompeted_ENERGY STAR Electric HPWH (Com.)</v>
      </c>
      <c r="C24" t="str">
        <f>VLOOKUP($D24,'SCOUT ECMs'!$A$24:$E$464, 5)</f>
        <v>Water Heating</v>
      </c>
      <c r="D24" t="s">
        <v>764</v>
      </c>
      <c r="E24" s="111">
        <f>_xlfn.XLOOKUP(B24,'CZ5 Com_NoHeat'!$AO$3:$AO$109,'CZ5 Com_NoHeat'!$AU$3:$AU$109)</f>
        <v>2432243092.0013809</v>
      </c>
      <c r="F24" s="9">
        <f>_xlfn.XLOOKUP(B24,'CZ5 Com_NoHeat'!$AO$3:$AO$109,'CZ5 Com_NoHeat'!$CF$3:$CF$109)</f>
        <v>0.54242181107944365</v>
      </c>
    </row>
    <row r="25" spans="1:7" x14ac:dyDescent="0.3">
      <c r="A25" t="s">
        <v>22</v>
      </c>
      <c r="B25" t="str">
        <f t="shared" si="0"/>
        <v>Efficient uncompeted_Prospective Commercial CO2 HPWH</v>
      </c>
      <c r="C25" t="str">
        <f>VLOOKUP($D25,'SCOUT ECMs'!$A$24:$E$464, 5)</f>
        <v>Water Heating</v>
      </c>
      <c r="D25" t="s">
        <v>735</v>
      </c>
      <c r="E25" s="111">
        <f>_xlfn.XLOOKUP(B25,'CZ5 Com_NoHeat'!$AO$3:$AO$109,'CZ5 Com_NoHeat'!$AU$3:$AU$109)</f>
        <v>3140040849.8684192</v>
      </c>
      <c r="F25" s="9">
        <f>_xlfn.XLOOKUP(B25,'CZ5 Com_NoHeat'!$AO$3:$AO$109,'CZ5 Com_NoHeat'!$CF$3:$CF$109)</f>
        <v>0.70026990733379224</v>
      </c>
    </row>
    <row r="26" spans="1:7" x14ac:dyDescent="0.3">
      <c r="A26" t="s">
        <v>22</v>
      </c>
      <c r="B26" t="str">
        <f t="shared" si="0"/>
        <v>Efficient uncompeted_Prospective Commercial Non-CO2 HPWH</v>
      </c>
      <c r="C26" t="str">
        <f>VLOOKUP($D26,'SCOUT ECMs'!$A$24:$E$464, 5)</f>
        <v>Water Heating</v>
      </c>
      <c r="D26" t="s">
        <v>729</v>
      </c>
      <c r="E26" s="111">
        <f>_xlfn.XLOOKUP(B26,'CZ5 Com_NoHeat'!$AO$3:$AO$109,'CZ5 Com_NoHeat'!$AU$3:$AU$109)</f>
        <v>2923919792.3092656</v>
      </c>
      <c r="F26" s="9">
        <f>_xlfn.XLOOKUP(B26,'CZ5 Com_NoHeat'!$AO$3:$AO$109,'CZ5 Com_NoHeat'!$CF$3:$CF$109)</f>
        <v>0.65207210348796918</v>
      </c>
    </row>
    <row r="27" spans="1:7" x14ac:dyDescent="0.3">
      <c r="A27" t="s">
        <v>22</v>
      </c>
      <c r="B27" t="str">
        <f t="shared" si="0"/>
        <v>Efficient uncompeted_Prospective Commercial NVC HPWH</v>
      </c>
      <c r="C27" t="str">
        <f>VLOOKUP($D27,'SCOUT ECMs'!$A$24:$E$464, 5)</f>
        <v>Water Heating</v>
      </c>
      <c r="D27" t="s">
        <v>727</v>
      </c>
      <c r="E27" s="111">
        <f>_xlfn.XLOOKUP(B27,'CZ5 Com_NoHeat'!$AO$3:$AO$109,'CZ5 Com_NoHeat'!$AU$3:$AU$109)</f>
        <v>2049026790.5505164</v>
      </c>
      <c r="F27" s="9">
        <f>_xlfn.XLOOKUP(B27,'CZ5 Com_NoHeat'!$AO$3:$AO$109,'CZ5 Com_NoHeat'!$CF$3:$CF$109)</f>
        <v>0.45695959681651754</v>
      </c>
    </row>
  </sheetData>
  <conditionalFormatting sqref="E2:F27">
    <cfRule type="cellIs" dxfId="0" priority="1" operator="lessThan">
      <formula>0</formula>
    </cfRule>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FCB3C-74A4-4126-873D-E26D0F66C04B}">
  <sheetPr codeName="Sheet10"/>
  <dimension ref="A1:DK109"/>
  <sheetViews>
    <sheetView zoomScaleNormal="100" workbookViewId="0">
      <pane xSplit="2" ySplit="2" topLeftCell="AG3" activePane="bottomRight" state="frozen"/>
      <selection pane="topRight" activeCell="D1" sqref="D1"/>
      <selection pane="bottomLeft" activeCell="A3" sqref="A3"/>
      <selection pane="bottomRight" activeCell="AU5" sqref="AU5"/>
    </sheetView>
  </sheetViews>
  <sheetFormatPr defaultColWidth="11.44140625" defaultRowHeight="14.4" outlineLevelCol="1" x14ac:dyDescent="0.3"/>
  <cols>
    <col min="1" max="1" width="34.88671875" customWidth="1"/>
    <col min="2" max="2" width="17.44140625" bestFit="1" customWidth="1"/>
    <col min="3" max="3" width="43.33203125" bestFit="1" customWidth="1"/>
    <col min="5" max="39" width="10.6640625" customWidth="1" outlineLevel="1"/>
    <col min="40" max="40" width="10.6640625" customWidth="1"/>
    <col min="41" max="41" width="53.33203125" bestFit="1" customWidth="1"/>
    <col min="42" max="42" width="16.33203125" style="208" hidden="1" customWidth="1" outlineLevel="1"/>
    <col min="43" max="44" width="16.6640625" hidden="1" customWidth="1" outlineLevel="1"/>
    <col min="45" max="46" width="17.6640625" hidden="1" customWidth="1" outlineLevel="1"/>
    <col min="47" max="47" width="17.6640625" style="40" bestFit="1" customWidth="1" collapsed="1"/>
    <col min="48" max="77" width="17.6640625" hidden="1" customWidth="1" outlineLevel="1"/>
    <col min="78" max="78" width="11.44140625" collapsed="1"/>
    <col min="80" max="83" width="0" hidden="1" customWidth="1" outlineLevel="1"/>
    <col min="84" max="84" width="11.44140625" collapsed="1"/>
    <col min="85" max="114" width="0" hidden="1" customWidth="1" outlineLevel="1"/>
    <col min="115" max="115" width="11.44140625" collapsed="1"/>
  </cols>
  <sheetData>
    <row r="1" spans="1:114" s="3" customFormat="1" x14ac:dyDescent="0.3">
      <c r="AP1" s="214" t="s">
        <v>897</v>
      </c>
      <c r="AU1" s="213" t="s">
        <v>896</v>
      </c>
      <c r="CA1" s="3" t="s">
        <v>895</v>
      </c>
    </row>
    <row r="2" spans="1:114" s="210" customFormat="1" x14ac:dyDescent="0.3">
      <c r="A2" s="210" t="s">
        <v>893</v>
      </c>
      <c r="B2" s="210" t="s">
        <v>892</v>
      </c>
      <c r="C2" s="210" t="s">
        <v>889</v>
      </c>
      <c r="D2" s="210" t="s">
        <v>884</v>
      </c>
      <c r="E2" s="210" t="s">
        <v>883</v>
      </c>
      <c r="F2" s="210" t="s">
        <v>882</v>
      </c>
      <c r="G2" s="210" t="s">
        <v>881</v>
      </c>
      <c r="H2" s="210" t="s">
        <v>880</v>
      </c>
      <c r="I2" s="210" t="s">
        <v>879</v>
      </c>
      <c r="J2" s="210" t="s">
        <v>878</v>
      </c>
      <c r="K2" s="210" t="s">
        <v>877</v>
      </c>
      <c r="L2" s="210" t="s">
        <v>876</v>
      </c>
      <c r="M2" s="210" t="s">
        <v>875</v>
      </c>
      <c r="N2" s="210" t="s">
        <v>874</v>
      </c>
      <c r="O2" s="210" t="s">
        <v>873</v>
      </c>
      <c r="P2" s="210" t="s">
        <v>872</v>
      </c>
      <c r="Q2" s="210" t="s">
        <v>871</v>
      </c>
      <c r="R2" s="210" t="s">
        <v>870</v>
      </c>
      <c r="S2" s="210" t="s">
        <v>869</v>
      </c>
      <c r="T2" s="210" t="s">
        <v>868</v>
      </c>
      <c r="U2" s="210" t="s">
        <v>867</v>
      </c>
      <c r="V2" s="210" t="s">
        <v>866</v>
      </c>
      <c r="W2" s="210" t="s">
        <v>865</v>
      </c>
      <c r="X2" s="210" t="s">
        <v>864</v>
      </c>
      <c r="Y2" s="210" t="s">
        <v>863</v>
      </c>
      <c r="Z2" s="210" t="s">
        <v>862</v>
      </c>
      <c r="AA2" s="210" t="s">
        <v>861</v>
      </c>
      <c r="AB2" s="210" t="s">
        <v>860</v>
      </c>
      <c r="AC2" s="210" t="s">
        <v>859</v>
      </c>
      <c r="AD2" s="210" t="s">
        <v>858</v>
      </c>
      <c r="AE2" s="210" t="s">
        <v>857</v>
      </c>
      <c r="AF2" s="210" t="s">
        <v>856</v>
      </c>
      <c r="AG2" s="210" t="s">
        <v>855</v>
      </c>
      <c r="AH2" s="210" t="s">
        <v>854</v>
      </c>
      <c r="AI2" s="210" t="s">
        <v>853</v>
      </c>
      <c r="AJ2" s="210" t="s">
        <v>852</v>
      </c>
      <c r="AK2" s="210" t="s">
        <v>851</v>
      </c>
      <c r="AL2" s="210" t="s">
        <v>850</v>
      </c>
      <c r="AM2" s="210" t="s">
        <v>849</v>
      </c>
      <c r="AP2" s="212">
        <v>2015</v>
      </c>
      <c r="AQ2" s="210">
        <v>2016</v>
      </c>
      <c r="AR2" s="210">
        <v>2017</v>
      </c>
      <c r="AS2" s="210">
        <v>2018</v>
      </c>
      <c r="AT2" s="210">
        <v>2019</v>
      </c>
      <c r="AU2" s="211">
        <v>2020</v>
      </c>
      <c r="AV2" s="210">
        <v>2021</v>
      </c>
      <c r="AW2" s="210">
        <v>2022</v>
      </c>
      <c r="AX2" s="210">
        <v>2023</v>
      </c>
      <c r="AY2" s="210">
        <v>2024</v>
      </c>
      <c r="AZ2" s="210">
        <v>2025</v>
      </c>
      <c r="BA2" s="210">
        <v>2026</v>
      </c>
      <c r="BB2" s="210">
        <v>2027</v>
      </c>
      <c r="BC2" s="210">
        <v>2028</v>
      </c>
      <c r="BD2" s="210">
        <v>2029</v>
      </c>
      <c r="BE2" s="210">
        <v>2030</v>
      </c>
      <c r="BF2" s="210">
        <v>2031</v>
      </c>
      <c r="BG2" s="210">
        <v>2032</v>
      </c>
      <c r="BH2" s="210">
        <v>2033</v>
      </c>
      <c r="BI2" s="210">
        <v>2034</v>
      </c>
      <c r="BJ2" s="210">
        <v>2035</v>
      </c>
      <c r="BK2" s="210">
        <v>2036</v>
      </c>
      <c r="BL2" s="210">
        <v>2037</v>
      </c>
      <c r="BM2" s="210">
        <v>2038</v>
      </c>
      <c r="BN2" s="210">
        <v>2039</v>
      </c>
      <c r="BO2" s="210">
        <v>2040</v>
      </c>
      <c r="BP2" s="210">
        <v>2041</v>
      </c>
      <c r="BQ2" s="210">
        <v>2042</v>
      </c>
      <c r="BR2" s="210">
        <v>2043</v>
      </c>
      <c r="BS2" s="210">
        <v>2044</v>
      </c>
      <c r="BT2" s="210">
        <v>2045</v>
      </c>
      <c r="BU2" s="210">
        <v>2046</v>
      </c>
      <c r="BV2" s="210">
        <v>2047</v>
      </c>
      <c r="BW2" s="210">
        <v>2048</v>
      </c>
      <c r="BX2" s="210">
        <v>2049</v>
      </c>
      <c r="BY2" s="210">
        <v>2050</v>
      </c>
      <c r="CA2" s="212">
        <v>2015</v>
      </c>
      <c r="CB2" s="210">
        <v>2016</v>
      </c>
      <c r="CC2" s="210">
        <v>2017</v>
      </c>
      <c r="CD2" s="210">
        <v>2018</v>
      </c>
      <c r="CE2" s="210">
        <v>2019</v>
      </c>
      <c r="CF2" s="211">
        <v>2020</v>
      </c>
      <c r="CG2" s="210">
        <v>2021</v>
      </c>
      <c r="CH2" s="210">
        <v>2022</v>
      </c>
      <c r="CI2" s="210">
        <v>2023</v>
      </c>
      <c r="CJ2" s="210">
        <v>2024</v>
      </c>
      <c r="CK2" s="210">
        <v>2025</v>
      </c>
      <c r="CL2" s="210">
        <v>2026</v>
      </c>
      <c r="CM2" s="210">
        <v>2027</v>
      </c>
      <c r="CN2" s="210">
        <v>2028</v>
      </c>
      <c r="CO2" s="210">
        <v>2029</v>
      </c>
      <c r="CP2" s="210">
        <v>2030</v>
      </c>
      <c r="CQ2" s="210">
        <v>2031</v>
      </c>
      <c r="CR2" s="210">
        <v>2032</v>
      </c>
      <c r="CS2" s="210">
        <v>2033</v>
      </c>
      <c r="CT2" s="210">
        <v>2034</v>
      </c>
      <c r="CU2" s="210">
        <v>2035</v>
      </c>
      <c r="CV2" s="210">
        <v>2036</v>
      </c>
      <c r="CW2" s="210">
        <v>2037</v>
      </c>
      <c r="CX2" s="210">
        <v>2038</v>
      </c>
      <c r="CY2" s="210">
        <v>2039</v>
      </c>
      <c r="CZ2" s="210">
        <v>2040</v>
      </c>
      <c r="DA2" s="210">
        <v>2041</v>
      </c>
      <c r="DB2" s="210">
        <v>2042</v>
      </c>
      <c r="DC2" s="210">
        <v>2043</v>
      </c>
      <c r="DD2" s="210">
        <v>2044</v>
      </c>
      <c r="DE2" s="210">
        <v>2045</v>
      </c>
      <c r="DF2" s="210">
        <v>2046</v>
      </c>
      <c r="DG2" s="210">
        <v>2047</v>
      </c>
      <c r="DH2" s="210">
        <v>2048</v>
      </c>
      <c r="DI2" s="210">
        <v>2049</v>
      </c>
      <c r="DJ2" s="210">
        <v>2050</v>
      </c>
    </row>
    <row r="3" spans="1:114" x14ac:dyDescent="0.3">
      <c r="A3" t="s">
        <v>834</v>
      </c>
      <c r="B3" t="s">
        <v>685</v>
      </c>
      <c r="C3" t="s">
        <v>679</v>
      </c>
      <c r="D3">
        <v>2.7374391313548401E-4</v>
      </c>
      <c r="E3">
        <v>2.38534860666104E-4</v>
      </c>
      <c r="F3">
        <v>2.11677082520907E-4</v>
      </c>
      <c r="G3">
        <v>2.77189429184413E-4</v>
      </c>
      <c r="H3">
        <v>2.6610937570751501E-4</v>
      </c>
      <c r="I3">
        <v>2.42985658419023E-4</v>
      </c>
      <c r="J3">
        <v>2.35390106599102E-4</v>
      </c>
      <c r="K3">
        <v>2.2785434961031901E-4</v>
      </c>
      <c r="L3">
        <v>2.2049714131562299E-4</v>
      </c>
      <c r="M3">
        <v>2.1299463905877301E-4</v>
      </c>
      <c r="N3">
        <v>2.05727609939196E-4</v>
      </c>
      <c r="O3">
        <v>1.98933645400721E-4</v>
      </c>
      <c r="P3">
        <v>1.9278992469241201E-4</v>
      </c>
      <c r="Q3">
        <v>1.8681702664065801E-4</v>
      </c>
      <c r="R3">
        <v>1.8107653704350099E-4</v>
      </c>
      <c r="S3">
        <v>1.75349788719503E-4</v>
      </c>
      <c r="T3">
        <v>1.6978781869133499E-4</v>
      </c>
      <c r="U3">
        <v>1.64261791662114E-4</v>
      </c>
      <c r="V3">
        <v>1.5868936524043501E-4</v>
      </c>
      <c r="W3">
        <v>1.5332638887543499E-4</v>
      </c>
      <c r="X3">
        <v>1.4810683405046799E-4</v>
      </c>
      <c r="Y3">
        <v>1.4296005610746901E-4</v>
      </c>
      <c r="Z3">
        <v>1.3795402285849499E-4</v>
      </c>
      <c r="AA3">
        <v>1.33119456926974E-4</v>
      </c>
      <c r="AB3">
        <v>1.2839929946790199E-4</v>
      </c>
      <c r="AC3">
        <v>1.2370671018791199E-4</v>
      </c>
      <c r="AD3">
        <v>1.1909141572162201E-4</v>
      </c>
      <c r="AE3">
        <v>1.14570871742922E-4</v>
      </c>
      <c r="AF3">
        <v>1.10082319130447E-4</v>
      </c>
      <c r="AG3">
        <v>1.05666851073384E-4</v>
      </c>
      <c r="AH3">
        <v>1.01309497547398E-4</v>
      </c>
      <c r="AI3">
        <v>9.7026105014056305E-5</v>
      </c>
      <c r="AJ3">
        <v>9.2778356356000994E-5</v>
      </c>
      <c r="AK3">
        <v>8.8616367868185397E-5</v>
      </c>
      <c r="AL3">
        <v>8.4463609321785594E-5</v>
      </c>
      <c r="AM3">
        <v>8.0409004045157095E-5</v>
      </c>
      <c r="AO3" t="str">
        <f t="shared" ref="AO3:AO34" si="0">CONCATENATE(B3,"_",A3)</f>
        <v>Efficient uncompeted_Best Com. Air Sealing (Exist)</v>
      </c>
      <c r="AP3" s="111" t="s">
        <v>894</v>
      </c>
      <c r="AQ3" s="111" t="s">
        <v>894</v>
      </c>
      <c r="AR3" s="111" t="s">
        <v>894</v>
      </c>
      <c r="AS3" s="111" t="s">
        <v>894</v>
      </c>
      <c r="AT3" s="111" t="s">
        <v>894</v>
      </c>
      <c r="AU3" s="209" t="s">
        <v>894</v>
      </c>
      <c r="AV3" s="111" t="s">
        <v>894</v>
      </c>
      <c r="AW3" s="111" t="s">
        <v>894</v>
      </c>
      <c r="AX3" s="111" t="s">
        <v>894</v>
      </c>
      <c r="AY3" s="111" t="s">
        <v>894</v>
      </c>
      <c r="AZ3" s="111" t="s">
        <v>894</v>
      </c>
      <c r="BA3" s="111" t="s">
        <v>894</v>
      </c>
      <c r="BB3" s="111" t="s">
        <v>894</v>
      </c>
      <c r="BC3" s="111" t="s">
        <v>894</v>
      </c>
      <c r="BD3" s="111" t="s">
        <v>894</v>
      </c>
      <c r="BE3" s="111" t="s">
        <v>894</v>
      </c>
      <c r="BF3" s="111" t="s">
        <v>894</v>
      </c>
      <c r="BG3" s="111" t="s">
        <v>894</v>
      </c>
      <c r="BH3" s="111" t="s">
        <v>894</v>
      </c>
      <c r="BI3" s="111" t="s">
        <v>894</v>
      </c>
      <c r="BJ3" s="111" t="s">
        <v>894</v>
      </c>
      <c r="BK3" s="111" t="s">
        <v>894</v>
      </c>
      <c r="BL3" s="111" t="s">
        <v>894</v>
      </c>
      <c r="BM3" s="111" t="s">
        <v>894</v>
      </c>
      <c r="BN3" s="111" t="s">
        <v>894</v>
      </c>
      <c r="BO3" s="111" t="s">
        <v>894</v>
      </c>
      <c r="BP3" s="111" t="s">
        <v>894</v>
      </c>
      <c r="BQ3" s="111" t="s">
        <v>894</v>
      </c>
      <c r="BR3" s="111" t="s">
        <v>894</v>
      </c>
      <c r="BS3" s="111" t="s">
        <v>894</v>
      </c>
      <c r="BT3" s="111" t="s">
        <v>894</v>
      </c>
      <c r="BU3" s="111" t="s">
        <v>894</v>
      </c>
      <c r="BV3" s="111" t="s">
        <v>894</v>
      </c>
      <c r="BW3" s="111" t="s">
        <v>894</v>
      </c>
      <c r="BX3" s="111" t="s">
        <v>894</v>
      </c>
      <c r="BY3" s="111" t="s">
        <v>894</v>
      </c>
    </row>
    <row r="4" spans="1:114" x14ac:dyDescent="0.3">
      <c r="A4" t="s">
        <v>833</v>
      </c>
      <c r="B4" t="s">
        <v>686</v>
      </c>
      <c r="C4" t="s">
        <v>679</v>
      </c>
      <c r="D4">
        <v>2.42125317945341E-3</v>
      </c>
      <c r="E4">
        <v>4.4766792919808699E-3</v>
      </c>
      <c r="F4">
        <v>6.2121375738883999E-3</v>
      </c>
      <c r="G4">
        <v>1.13092826739561E-2</v>
      </c>
      <c r="H4">
        <v>1.4128431839354199E-2</v>
      </c>
      <c r="I4">
        <v>1.5777237378927101E-2</v>
      </c>
      <c r="J4">
        <v>1.81261242465031E-2</v>
      </c>
      <c r="K4">
        <v>2.033765263255E-2</v>
      </c>
      <c r="L4">
        <v>2.24312623649074E-2</v>
      </c>
      <c r="M4">
        <v>2.4385620694863899E-2</v>
      </c>
      <c r="N4">
        <v>2.6268122741444501E-2</v>
      </c>
      <c r="O4">
        <v>2.81452632343017E-2</v>
      </c>
      <c r="P4">
        <v>3.00645860665643E-2</v>
      </c>
      <c r="Q4">
        <v>3.19633220307739E-2</v>
      </c>
      <c r="R4">
        <v>3.3847198226803203E-2</v>
      </c>
      <c r="S4">
        <v>3.5675908525831301E-2</v>
      </c>
      <c r="T4">
        <v>3.7483521265952197E-2</v>
      </c>
      <c r="U4">
        <v>3.9233023223212302E-2</v>
      </c>
      <c r="V4">
        <v>4.0900768322598501E-2</v>
      </c>
      <c r="W4">
        <v>4.2541627093957701E-2</v>
      </c>
      <c r="X4">
        <v>4.4135465654111097E-2</v>
      </c>
      <c r="Y4">
        <v>4.5667557056791701E-2</v>
      </c>
      <c r="Z4">
        <v>4.7164616080724003E-2</v>
      </c>
      <c r="AA4">
        <v>4.8653388416302797E-2</v>
      </c>
      <c r="AB4">
        <v>5.0126729588205701E-2</v>
      </c>
      <c r="AC4">
        <v>5.1558840498501297E-2</v>
      </c>
      <c r="AD4">
        <v>5.29601256186117E-2</v>
      </c>
      <c r="AE4">
        <v>5.4341558765593601E-2</v>
      </c>
      <c r="AF4">
        <v>5.5673918282279203E-2</v>
      </c>
      <c r="AG4">
        <v>5.6976929354378703E-2</v>
      </c>
      <c r="AH4">
        <v>5.8249740132052398E-2</v>
      </c>
      <c r="AI4">
        <v>5.9499884898653002E-2</v>
      </c>
      <c r="AJ4">
        <v>6.0704208831644103E-2</v>
      </c>
      <c r="AK4">
        <v>6.1890401398690502E-2</v>
      </c>
      <c r="AL4">
        <v>6.3001322332673498E-2</v>
      </c>
      <c r="AM4">
        <v>6.4093506675065096E-2</v>
      </c>
      <c r="AO4" t="str">
        <f t="shared" si="0"/>
        <v>Baseline uncompeted_Best Com. Air Sealing (New)</v>
      </c>
      <c r="AP4" s="111"/>
      <c r="AQ4" s="111"/>
      <c r="AR4" s="111"/>
      <c r="AS4" s="111"/>
      <c r="AT4" s="111"/>
      <c r="AU4" s="209"/>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row>
    <row r="5" spans="1:114" x14ac:dyDescent="0.3">
      <c r="A5" t="s">
        <v>833</v>
      </c>
      <c r="B5" t="s">
        <v>685</v>
      </c>
      <c r="C5" t="s">
        <v>679</v>
      </c>
      <c r="D5">
        <v>2.42125317945341E-5</v>
      </c>
      <c r="E5">
        <v>4.4766792919808701E-5</v>
      </c>
      <c r="F5">
        <v>6.2186766660714396E-5</v>
      </c>
      <c r="G5">
        <v>1.1339288469181501E-4</v>
      </c>
      <c r="H5">
        <v>1.4205534639593901E-4</v>
      </c>
      <c r="I5">
        <v>1.59285498901762E-4</v>
      </c>
      <c r="J5">
        <v>1.84017355640767E-4</v>
      </c>
      <c r="K5">
        <v>2.07762902682363E-4</v>
      </c>
      <c r="L5">
        <v>2.30976465963004E-4</v>
      </c>
      <c r="M5">
        <v>2.5388203248833102E-4</v>
      </c>
      <c r="N5">
        <v>2.7676743931969702E-4</v>
      </c>
      <c r="O5">
        <v>3.0040420357174599E-4</v>
      </c>
      <c r="P5">
        <v>3.2492925630102902E-4</v>
      </c>
      <c r="Q5">
        <v>3.5016426087714902E-4</v>
      </c>
      <c r="R5">
        <v>3.76280603354506E-4</v>
      </c>
      <c r="S5">
        <v>4.0294860051167498E-4</v>
      </c>
      <c r="T5">
        <v>4.3068027436796603E-4</v>
      </c>
      <c r="U5">
        <v>4.5920306371892899E-4</v>
      </c>
      <c r="V5">
        <v>4.8839614887105805E-4</v>
      </c>
      <c r="W5">
        <v>5.1910066706000997E-4</v>
      </c>
      <c r="X5">
        <v>5.5131691041808504E-4</v>
      </c>
      <c r="Y5">
        <v>5.8514163363749898E-4</v>
      </c>
      <c r="Z5">
        <v>6.2126146462821504E-4</v>
      </c>
      <c r="AA5">
        <v>6.6049001742128903E-4</v>
      </c>
      <c r="AB5">
        <v>7.0333721622803901E-4</v>
      </c>
      <c r="AC5">
        <v>7.4646013370664602E-4</v>
      </c>
      <c r="AD5">
        <v>7.8992920258241295E-4</v>
      </c>
      <c r="AE5">
        <v>8.3779659892596104E-4</v>
      </c>
      <c r="AF5">
        <v>8.8571027576359897E-4</v>
      </c>
      <c r="AG5">
        <v>9.3389248512884505E-4</v>
      </c>
      <c r="AH5">
        <v>9.8225945791622607E-4</v>
      </c>
      <c r="AI5">
        <v>1.03087361975098E-3</v>
      </c>
      <c r="AJ5">
        <v>1.07926788434308E-3</v>
      </c>
      <c r="AK5">
        <v>1.12786252758785E-3</v>
      </c>
      <c r="AL5">
        <v>1.17554635440366E-3</v>
      </c>
      <c r="AM5">
        <v>1.2232817984737399E-3</v>
      </c>
      <c r="AO5" t="str">
        <f t="shared" si="0"/>
        <v>Efficient uncompeted_Best Com. Air Sealing (New)</v>
      </c>
      <c r="AP5" s="111">
        <f t="shared" ref="AP5:BY5" si="1">(D4-D5)*293071083333.33</f>
        <v>702503299.40341377</v>
      </c>
      <c r="AQ5" s="111">
        <f t="shared" si="1"/>
        <v>1298865397.3383512</v>
      </c>
      <c r="AR5" s="111">
        <f t="shared" si="1"/>
        <v>1802372745.5209053</v>
      </c>
      <c r="AS5" s="111">
        <f t="shared" si="1"/>
        <v>3281191549.4202518</v>
      </c>
      <c r="AT5" s="111">
        <f t="shared" si="1"/>
        <v>4099002510.6990986</v>
      </c>
      <c r="AU5" s="209">
        <f t="shared" si="1"/>
        <v>4577170076.9268446</v>
      </c>
      <c r="AV5" s="111">
        <f t="shared" si="1"/>
        <v>5258312703.7874289</v>
      </c>
      <c r="AW5" s="111">
        <f t="shared" si="1"/>
        <v>5899488590.5127821</v>
      </c>
      <c r="AX5" s="111">
        <f t="shared" si="1"/>
        <v>6506261838.7132835</v>
      </c>
      <c r="AY5" s="111">
        <f t="shared" si="1"/>
        <v>7072314792.4992113</v>
      </c>
      <c r="AZ5" s="111">
        <f t="shared" si="1"/>
        <v>7617314655.6952076</v>
      </c>
      <c r="BA5" s="111">
        <f t="shared" si="1"/>
        <v>8160523001.3998852</v>
      </c>
      <c r="BB5" s="111">
        <f t="shared" si="1"/>
        <v>8715833439.3453026</v>
      </c>
      <c r="BC5" s="111">
        <f t="shared" si="1"/>
        <v>9264902395.2111206</v>
      </c>
      <c r="BD5" s="111">
        <f t="shared" si="1"/>
        <v>9809358088.0647583</v>
      </c>
      <c r="BE5" s="111">
        <f t="shared" si="1"/>
        <v>10337484577.686558</v>
      </c>
      <c r="BF5" s="111">
        <f t="shared" si="1"/>
        <v>10859116249.981207</v>
      </c>
      <c r="BG5" s="111">
        <f t="shared" si="1"/>
        <v>11363485479.114433</v>
      </c>
      <c r="BH5" s="111">
        <f t="shared" si="1"/>
        <v>11843697693.024023</v>
      </c>
      <c r="BI5" s="111">
        <f t="shared" si="1"/>
        <v>12315587344.334394</v>
      </c>
      <c r="BJ5" s="111">
        <f t="shared" si="1"/>
        <v>12773253688.475105</v>
      </c>
      <c r="BK5" s="111">
        <f t="shared" si="1"/>
        <v>13212352327.347027</v>
      </c>
      <c r="BL5" s="111">
        <f t="shared" si="1"/>
        <v>13640511359.30654</v>
      </c>
      <c r="BM5" s="111">
        <f t="shared" si="1"/>
        <v>14065330726.066645</v>
      </c>
      <c r="BN5" s="111">
        <f t="shared" si="1"/>
        <v>14484567144.463732</v>
      </c>
      <c r="BO5" s="111">
        <f t="shared" si="1"/>
        <v>14891639360.255594</v>
      </c>
      <c r="BP5" s="111">
        <f t="shared" si="1"/>
        <v>15289575981.358315</v>
      </c>
      <c r="BQ5" s="111">
        <f t="shared" si="1"/>
        <v>15680405540.594122</v>
      </c>
      <c r="BR5" s="111">
        <f t="shared" si="1"/>
        <v>16056839474.361353</v>
      </c>
      <c r="BS5" s="111">
        <f t="shared" si="1"/>
        <v>16424593528.560812</v>
      </c>
      <c r="BT5" s="111">
        <f t="shared" si="1"/>
        <v>16783442600.939629</v>
      </c>
      <c r="BU5" s="111">
        <f t="shared" si="1"/>
        <v>17135576476.936506</v>
      </c>
      <c r="BV5" s="111">
        <f t="shared" si="1"/>
        <v>17474346037.11134</v>
      </c>
      <c r="BW5" s="111">
        <f t="shared" si="1"/>
        <v>17807743093.037632</v>
      </c>
      <c r="BX5" s="111">
        <f t="shared" si="1"/>
        <v>18119347143.875313</v>
      </c>
      <c r="BY5" s="111">
        <f t="shared" si="1"/>
        <v>18425444913.992702</v>
      </c>
      <c r="CA5" s="9">
        <f t="shared" ref="CA5:DJ5" si="2">(D4-D5)/D4</f>
        <v>0.99</v>
      </c>
      <c r="CB5" s="9">
        <f t="shared" si="2"/>
        <v>0.99</v>
      </c>
      <c r="CC5" s="9">
        <f t="shared" si="2"/>
        <v>0.98998947368421053</v>
      </c>
      <c r="CD5" s="9">
        <f t="shared" si="2"/>
        <v>0.98997346799431007</v>
      </c>
      <c r="CE5" s="9">
        <f t="shared" si="2"/>
        <v>0.98994542720585244</v>
      </c>
      <c r="CF5" s="9">
        <f t="shared" si="2"/>
        <v>0.98990409441931115</v>
      </c>
      <c r="CG5" s="9">
        <f t="shared" si="2"/>
        <v>0.98984794801479592</v>
      </c>
      <c r="CH5" s="9">
        <f t="shared" si="2"/>
        <v>0.98978432238783332</v>
      </c>
      <c r="CI5" s="9">
        <f t="shared" si="2"/>
        <v>0.98970292165436236</v>
      </c>
      <c r="CJ5" s="9">
        <f t="shared" si="2"/>
        <v>0.98958886322127515</v>
      </c>
      <c r="CK5" s="9">
        <f t="shared" si="2"/>
        <v>0.98946375262351627</v>
      </c>
      <c r="CL5" s="9">
        <f t="shared" si="2"/>
        <v>0.98932665148408938</v>
      </c>
      <c r="CM5" s="9">
        <f t="shared" si="2"/>
        <v>0.9891922923674511</v>
      </c>
      <c r="CN5" s="9">
        <f t="shared" si="2"/>
        <v>0.98904481015646584</v>
      </c>
      <c r="CO5" s="9">
        <f t="shared" si="2"/>
        <v>0.98888296157238409</v>
      </c>
      <c r="CP5" s="9">
        <f t="shared" si="2"/>
        <v>0.98870530234093634</v>
      </c>
      <c r="CQ5" s="9">
        <f t="shared" si="2"/>
        <v>0.98851014366253864</v>
      </c>
      <c r="CR5" s="9">
        <f t="shared" si="2"/>
        <v>0.98829549634484337</v>
      </c>
      <c r="CS5" s="9">
        <f t="shared" si="2"/>
        <v>0.98805899818265253</v>
      </c>
      <c r="CT5" s="9">
        <f t="shared" si="2"/>
        <v>0.98779781821899937</v>
      </c>
      <c r="CU5" s="9">
        <f t="shared" si="2"/>
        <v>0.98750852852128612</v>
      </c>
      <c r="CV5" s="9">
        <f t="shared" si="2"/>
        <v>0.98718692937943175</v>
      </c>
      <c r="CW5" s="9">
        <f t="shared" si="2"/>
        <v>0.9868278061764586</v>
      </c>
      <c r="CX5" s="9">
        <f t="shared" si="2"/>
        <v>0.98642458338626282</v>
      </c>
      <c r="CY5" s="9">
        <f t="shared" si="2"/>
        <v>0.98596881899126476</v>
      </c>
      <c r="CZ5" s="9">
        <f t="shared" si="2"/>
        <v>0.98552216988416674</v>
      </c>
      <c r="DA5" s="9">
        <f t="shared" si="2"/>
        <v>0.98508445375921072</v>
      </c>
      <c r="DB5" s="9">
        <f t="shared" si="2"/>
        <v>0.9845827646840265</v>
      </c>
      <c r="DC5" s="9">
        <f t="shared" si="2"/>
        <v>0.98409110939034594</v>
      </c>
      <c r="DD5" s="9">
        <f t="shared" si="2"/>
        <v>0.98360928720253904</v>
      </c>
      <c r="DE5" s="9">
        <f t="shared" si="2"/>
        <v>0.98313710145848821</v>
      </c>
      <c r="DF5" s="9">
        <f t="shared" si="2"/>
        <v>0.98267435942931847</v>
      </c>
      <c r="DG5" s="9">
        <f t="shared" si="2"/>
        <v>0.98222087224073207</v>
      </c>
      <c r="DH5" s="9">
        <f t="shared" si="2"/>
        <v>0.98177645479591746</v>
      </c>
      <c r="DI5" s="9">
        <f t="shared" si="2"/>
        <v>0.98134092569999909</v>
      </c>
      <c r="DJ5" s="9">
        <f t="shared" si="2"/>
        <v>0.98091410718599914</v>
      </c>
    </row>
    <row r="6" spans="1:114" x14ac:dyDescent="0.3">
      <c r="A6" t="s">
        <v>832</v>
      </c>
      <c r="B6" t="s">
        <v>686</v>
      </c>
      <c r="C6" t="s">
        <v>746</v>
      </c>
      <c r="D6">
        <v>0.11366870600238101</v>
      </c>
      <c r="E6">
        <v>0.120998051097726</v>
      </c>
      <c r="F6">
        <v>0.115065716192726</v>
      </c>
      <c r="G6">
        <v>0.12478654444778201</v>
      </c>
      <c r="H6">
        <v>0.115778430703429</v>
      </c>
      <c r="I6">
        <v>0.12670156859920301</v>
      </c>
      <c r="J6">
        <v>0.129437748552719</v>
      </c>
      <c r="K6">
        <v>0.131673018414662</v>
      </c>
      <c r="L6">
        <v>0.13361508662423399</v>
      </c>
      <c r="M6">
        <v>0.13564183643375899</v>
      </c>
      <c r="N6">
        <v>0.13704006699288701</v>
      </c>
      <c r="O6">
        <v>0.13861303149554199</v>
      </c>
      <c r="P6">
        <v>0.140571934867565</v>
      </c>
      <c r="Q6">
        <v>0.14280731655722301</v>
      </c>
      <c r="R6">
        <v>0.145533793660448</v>
      </c>
      <c r="S6">
        <v>0.14805422768542101</v>
      </c>
      <c r="T6">
        <v>0.15046960933162501</v>
      </c>
      <c r="U6">
        <v>0.152319270076228</v>
      </c>
      <c r="V6">
        <v>0.15461944660233601</v>
      </c>
      <c r="W6">
        <v>0.15686795898165501</v>
      </c>
      <c r="X6">
        <v>0.15933856997811</v>
      </c>
      <c r="Y6">
        <v>0.161849384346234</v>
      </c>
      <c r="Z6">
        <v>0.16417543915100299</v>
      </c>
      <c r="AA6">
        <v>0.166578249265045</v>
      </c>
      <c r="AB6">
        <v>0.169145743102074</v>
      </c>
      <c r="AC6">
        <v>0.17181335947297099</v>
      </c>
      <c r="AD6">
        <v>0.174319837467483</v>
      </c>
      <c r="AE6">
        <v>0.17698296698963001</v>
      </c>
      <c r="AF6">
        <v>0.17970046157337</v>
      </c>
      <c r="AG6">
        <v>0.182433957672194</v>
      </c>
      <c r="AH6">
        <v>0.18517507003758099</v>
      </c>
      <c r="AI6">
        <v>0.188074439702792</v>
      </c>
      <c r="AJ6">
        <v>0.19106874818032901</v>
      </c>
      <c r="AK6">
        <v>0.19392928478719901</v>
      </c>
      <c r="AL6">
        <v>0.197035232134606</v>
      </c>
      <c r="AM6">
        <v>0.20028415268278901</v>
      </c>
      <c r="AO6" t="str">
        <f t="shared" si="0"/>
        <v>Baseline uncompeted_Best Commercial Chillers</v>
      </c>
      <c r="AP6" s="111"/>
      <c r="AQ6" s="111"/>
      <c r="AR6" s="111"/>
      <c r="AS6" s="111"/>
      <c r="AT6" s="111"/>
      <c r="AU6" s="209"/>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row>
    <row r="7" spans="1:114" x14ac:dyDescent="0.3">
      <c r="A7" t="s">
        <v>832</v>
      </c>
      <c r="B7" t="s">
        <v>685</v>
      </c>
      <c r="C7" t="s">
        <v>746</v>
      </c>
      <c r="D7">
        <v>0.11366870600238101</v>
      </c>
      <c r="E7">
        <v>0.120998051097726</v>
      </c>
      <c r="F7">
        <v>7.7211321563739305E-2</v>
      </c>
      <c r="G7">
        <v>8.3196921818272401E-2</v>
      </c>
      <c r="H7">
        <v>7.67344450710198E-2</v>
      </c>
      <c r="I7">
        <v>8.3699658542726998E-2</v>
      </c>
      <c r="J7">
        <v>8.5265257125513305E-2</v>
      </c>
      <c r="K7">
        <v>8.6534401395030894E-2</v>
      </c>
      <c r="L7">
        <v>8.7645005166713794E-2</v>
      </c>
      <c r="M7">
        <v>8.8844428094091293E-2</v>
      </c>
      <c r="N7">
        <v>8.9658744015438205E-2</v>
      </c>
      <c r="O7">
        <v>9.0609963775727095E-2</v>
      </c>
      <c r="P7">
        <v>9.1831330774200498E-2</v>
      </c>
      <c r="Q7">
        <v>9.3245776473070599E-2</v>
      </c>
      <c r="R7">
        <v>9.49909182852402E-2</v>
      </c>
      <c r="S7">
        <v>9.6615202477996598E-2</v>
      </c>
      <c r="T7">
        <v>9.8180944004442994E-2</v>
      </c>
      <c r="U7">
        <v>9.93873479363621E-2</v>
      </c>
      <c r="V7">
        <v>0.100897050174116</v>
      </c>
      <c r="W7">
        <v>0.10237999469466</v>
      </c>
      <c r="X7">
        <v>0.10401666112984501</v>
      </c>
      <c r="Y7">
        <v>0.105685507806507</v>
      </c>
      <c r="Z7">
        <v>0.107238612913599</v>
      </c>
      <c r="AA7">
        <v>0.10884679470486</v>
      </c>
      <c r="AB7">
        <v>0.110565080323357</v>
      </c>
      <c r="AC7">
        <v>0.112348678128741</v>
      </c>
      <c r="AD7">
        <v>0.11403105078078001</v>
      </c>
      <c r="AE7">
        <v>0.115833453093502</v>
      </c>
      <c r="AF7">
        <v>0.117668530237498</v>
      </c>
      <c r="AG7">
        <v>0.11951843506144499</v>
      </c>
      <c r="AH7">
        <v>0.12137669968695999</v>
      </c>
      <c r="AI7">
        <v>0.123341424018217</v>
      </c>
      <c r="AJ7">
        <v>0.125368511582377</v>
      </c>
      <c r="AK7">
        <v>0.12730858279043</v>
      </c>
      <c r="AL7">
        <v>0.129408808959039</v>
      </c>
      <c r="AM7">
        <v>0.13160073242902101</v>
      </c>
      <c r="AO7" t="str">
        <f t="shared" si="0"/>
        <v>Efficient uncompeted_Best Commercial Chillers</v>
      </c>
      <c r="AP7" s="111">
        <f t="shared" ref="AP7:BY7" si="3">(D6-D7)*293071083333.33</f>
        <v>0</v>
      </c>
      <c r="AQ7" s="111">
        <f t="shared" si="3"/>
        <v>0</v>
      </c>
      <c r="AR7" s="111">
        <f t="shared" si="3"/>
        <v>11094028442.844521</v>
      </c>
      <c r="AS7" s="111">
        <f t="shared" si="3"/>
        <v>12188715759.454758</v>
      </c>
      <c r="AT7" s="111">
        <f t="shared" si="3"/>
        <v>11442663166.941135</v>
      </c>
      <c r="AU7" s="209">
        <f t="shared" si="3"/>
        <v>12602616365.653843</v>
      </c>
      <c r="AV7" s="111">
        <f t="shared" si="3"/>
        <v>12945679916.103407</v>
      </c>
      <c r="AW7" s="111">
        <f t="shared" si="3"/>
        <v>13228823390.111578</v>
      </c>
      <c r="AX7" s="111">
        <f t="shared" si="3"/>
        <v>13472501573.67687</v>
      </c>
      <c r="AY7" s="111">
        <f t="shared" si="3"/>
        <v>13714967159.298624</v>
      </c>
      <c r="AZ7" s="111">
        <f t="shared" si="3"/>
        <v>13886095654.767323</v>
      </c>
      <c r="BA7" s="111">
        <f t="shared" si="3"/>
        <v>14068311059.969357</v>
      </c>
      <c r="BB7" s="111">
        <f t="shared" si="3"/>
        <v>14284461643.963274</v>
      </c>
      <c r="BC7" s="111">
        <f t="shared" si="3"/>
        <v>14525054244.130806</v>
      </c>
      <c r="BD7" s="111">
        <f t="shared" si="3"/>
        <v>14812655240.993637</v>
      </c>
      <c r="BE7" s="111">
        <f t="shared" si="3"/>
        <v>15075290843.150343</v>
      </c>
      <c r="BF7" s="111">
        <f t="shared" si="3"/>
        <v>15324295793.491165</v>
      </c>
      <c r="BG7" s="111">
        <f t="shared" si="3"/>
        <v>15512815764.445976</v>
      </c>
      <c r="BH7" s="111">
        <f t="shared" si="3"/>
        <v>15744480920.481056</v>
      </c>
      <c r="BI7" s="111">
        <f t="shared" si="3"/>
        <v>15968846722.217424</v>
      </c>
      <c r="BJ7" s="111">
        <f t="shared" si="3"/>
        <v>16213251758.228756</v>
      </c>
      <c r="BK7" s="111">
        <f t="shared" si="3"/>
        <v>16460008141.697191</v>
      </c>
      <c r="BL7" s="111">
        <f t="shared" si="3"/>
        <v>16686537346.957558</v>
      </c>
      <c r="BM7" s="111">
        <f t="shared" si="3"/>
        <v>16919419930.362333</v>
      </c>
      <c r="BN7" s="111">
        <f t="shared" si="3"/>
        <v>17168298302.943073</v>
      </c>
      <c r="BO7" s="111">
        <f t="shared" si="3"/>
        <v>17427378581.624744</v>
      </c>
      <c r="BP7" s="111">
        <f t="shared" si="3"/>
        <v>17668900027.124092</v>
      </c>
      <c r="BQ7" s="111">
        <f t="shared" si="3"/>
        <v>17921154282.844753</v>
      </c>
      <c r="BR7" s="111">
        <f t="shared" si="3"/>
        <v>18179765317.862747</v>
      </c>
      <c r="BS7" s="111">
        <f t="shared" si="3"/>
        <v>18438720370.014832</v>
      </c>
      <c r="BT7" s="111">
        <f t="shared" si="3"/>
        <v>18697457513.557499</v>
      </c>
      <c r="BU7" s="111">
        <f t="shared" si="3"/>
        <v>18971375034.111839</v>
      </c>
      <c r="BV7" s="111">
        <f t="shared" si="3"/>
        <v>19254839515.017895</v>
      </c>
      <c r="BW7" s="111">
        <f t="shared" si="3"/>
        <v>19524601306.620033</v>
      </c>
      <c r="BX7" s="111">
        <f t="shared" si="3"/>
        <v>19819349102.021637</v>
      </c>
      <c r="BY7" s="111">
        <f t="shared" si="3"/>
        <v>20129124380.810169</v>
      </c>
      <c r="CA7" s="9">
        <f t="shared" ref="CA7:DJ7" si="4">(D6-D7)/D6</f>
        <v>0</v>
      </c>
      <c r="CB7" s="9">
        <f t="shared" si="4"/>
        <v>0</v>
      </c>
      <c r="CC7" s="9">
        <f t="shared" si="4"/>
        <v>0.32898065454686409</v>
      </c>
      <c r="CD7" s="9">
        <f t="shared" si="4"/>
        <v>0.33328611521022716</v>
      </c>
      <c r="CE7" s="9">
        <f t="shared" si="4"/>
        <v>0.33723021978439061</v>
      </c>
      <c r="CF7" s="9">
        <f t="shared" si="4"/>
        <v>0.33939524610389477</v>
      </c>
      <c r="CG7" s="9">
        <f t="shared" si="4"/>
        <v>0.34126436778382763</v>
      </c>
      <c r="CH7" s="9">
        <f t="shared" si="4"/>
        <v>0.34280840192697254</v>
      </c>
      <c r="CI7" s="9">
        <f t="shared" si="4"/>
        <v>0.34404858477397809</v>
      </c>
      <c r="CJ7" s="9">
        <f t="shared" si="4"/>
        <v>0.34500718635228239</v>
      </c>
      <c r="CK7" s="9">
        <f t="shared" si="4"/>
        <v>0.34574795544946796</v>
      </c>
      <c r="CL7" s="9">
        <f t="shared" si="4"/>
        <v>0.34630991907394182</v>
      </c>
      <c r="CM7" s="9">
        <f t="shared" si="4"/>
        <v>0.34673069086858471</v>
      </c>
      <c r="CN7" s="9">
        <f t="shared" si="4"/>
        <v>0.34705182674791779</v>
      </c>
      <c r="CO7" s="9">
        <f t="shared" si="4"/>
        <v>0.34729305203938987</v>
      </c>
      <c r="CP7" s="9">
        <f t="shared" si="4"/>
        <v>0.34743368029124944</v>
      </c>
      <c r="CQ7" s="9">
        <f t="shared" si="4"/>
        <v>0.34750316399068515</v>
      </c>
      <c r="CR7" s="9">
        <f t="shared" si="4"/>
        <v>0.34750640620439016</v>
      </c>
      <c r="CS7" s="9">
        <f t="shared" si="4"/>
        <v>0.34744915732616755</v>
      </c>
      <c r="CT7" s="9">
        <f t="shared" si="4"/>
        <v>0.34734922695951648</v>
      </c>
      <c r="CU7" s="9">
        <f t="shared" si="4"/>
        <v>0.3471972219649338</v>
      </c>
      <c r="CV7" s="9">
        <f t="shared" si="4"/>
        <v>0.34701322322968636</v>
      </c>
      <c r="CW7" s="9">
        <f t="shared" si="4"/>
        <v>0.34680477501287776</v>
      </c>
      <c r="CX7" s="9">
        <f t="shared" si="4"/>
        <v>0.34657258564608678</v>
      </c>
      <c r="CY7" s="9">
        <f t="shared" si="4"/>
        <v>0.3463324687004713</v>
      </c>
      <c r="CZ7" s="9">
        <f t="shared" si="4"/>
        <v>0.34610045183119037</v>
      </c>
      <c r="DA7" s="9">
        <f t="shared" si="4"/>
        <v>0.34585155403181839</v>
      </c>
      <c r="DB7" s="9">
        <f t="shared" si="4"/>
        <v>0.34551072872289995</v>
      </c>
      <c r="DC7" s="9">
        <f t="shared" si="4"/>
        <v>0.34519628270706998</v>
      </c>
      <c r="DD7" s="9">
        <f t="shared" si="4"/>
        <v>0.3448673887993956</v>
      </c>
      <c r="DE7" s="9">
        <f t="shared" si="4"/>
        <v>0.34453001874211908</v>
      </c>
      <c r="DF7" s="9">
        <f t="shared" si="4"/>
        <v>0.34418826814994374</v>
      </c>
      <c r="DG7" s="9">
        <f t="shared" si="4"/>
        <v>0.34385652925273108</v>
      </c>
      <c r="DH7" s="9">
        <f t="shared" si="4"/>
        <v>0.34353090132762942</v>
      </c>
      <c r="DI7" s="9">
        <f t="shared" si="4"/>
        <v>0.34321995331965571</v>
      </c>
      <c r="DJ7" s="9">
        <f t="shared" si="4"/>
        <v>0.34292987904314692</v>
      </c>
    </row>
    <row r="8" spans="1:114" x14ac:dyDescent="0.3">
      <c r="A8" t="s">
        <v>831</v>
      </c>
      <c r="B8" t="s">
        <v>686</v>
      </c>
      <c r="C8" t="s">
        <v>22</v>
      </c>
      <c r="D8">
        <v>1.6997072700000001E-2</v>
      </c>
      <c r="E8">
        <v>1.6789534799999999E-2</v>
      </c>
      <c r="F8">
        <v>1.6415748160014201E-2</v>
      </c>
      <c r="G8">
        <v>1.6050723877983199E-2</v>
      </c>
      <c r="H8">
        <v>1.5634331772947999E-2</v>
      </c>
      <c r="I8">
        <v>1.5300191426475099E-2</v>
      </c>
      <c r="J8">
        <v>1.49143074938643E-2</v>
      </c>
      <c r="K8">
        <v>1.4597436136620401E-2</v>
      </c>
      <c r="L8">
        <v>1.4323737594843599E-2</v>
      </c>
      <c r="M8">
        <v>1.40855282114922E-2</v>
      </c>
      <c r="N8">
        <v>1.3801246255147901E-2</v>
      </c>
      <c r="O8">
        <v>1.35421574085842E-2</v>
      </c>
      <c r="P8">
        <v>1.33261130960652E-2</v>
      </c>
      <c r="Q8">
        <v>1.3138393757535199E-2</v>
      </c>
      <c r="R8">
        <v>1.3001617950020999E-2</v>
      </c>
      <c r="S8">
        <v>1.2856922671901701E-2</v>
      </c>
      <c r="T8">
        <v>1.26988252467835E-2</v>
      </c>
      <c r="U8">
        <v>1.2499616636162499E-2</v>
      </c>
      <c r="V8">
        <v>1.2344048338424601E-2</v>
      </c>
      <c r="W8">
        <v>1.21802474839689E-2</v>
      </c>
      <c r="X8">
        <v>1.2040225808490001E-2</v>
      </c>
      <c r="Y8">
        <v>1.1909890676133E-2</v>
      </c>
      <c r="Z8">
        <v>1.1758127164559999E-2</v>
      </c>
      <c r="AA8">
        <v>1.1622495586427599E-2</v>
      </c>
      <c r="AB8">
        <v>1.14971240960674E-2</v>
      </c>
      <c r="AC8">
        <v>1.13824876159342E-2</v>
      </c>
      <c r="AD8">
        <v>1.12537249056208E-2</v>
      </c>
      <c r="AE8">
        <v>1.1132426140688E-2</v>
      </c>
      <c r="AF8">
        <v>1.1014817974925799E-2</v>
      </c>
      <c r="AG8">
        <v>1.09019191828316E-2</v>
      </c>
      <c r="AH8">
        <v>1.07889471269321E-2</v>
      </c>
      <c r="AI8">
        <v>1.0681308640024201E-2</v>
      </c>
      <c r="AJ8">
        <v>1.0578809997944E-2</v>
      </c>
      <c r="AK8">
        <v>1.0471071103501499E-2</v>
      </c>
      <c r="AL8">
        <v>1.0379238381050201E-2</v>
      </c>
      <c r="AM8">
        <v>1.0280477713879599E-2</v>
      </c>
      <c r="AO8" t="str">
        <f t="shared" si="0"/>
        <v>Baseline uncompeted_Best Commercial Electric HPWH</v>
      </c>
      <c r="AP8" s="111"/>
      <c r="AQ8" s="111"/>
      <c r="AR8" s="111"/>
      <c r="AS8" s="111"/>
      <c r="AT8" s="111"/>
      <c r="AU8" s="209"/>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row>
    <row r="9" spans="1:114" x14ac:dyDescent="0.3">
      <c r="A9" t="s">
        <v>831</v>
      </c>
      <c r="B9" t="s">
        <v>685</v>
      </c>
      <c r="C9" t="s">
        <v>22</v>
      </c>
      <c r="D9">
        <v>1.6997072700000001E-2</v>
      </c>
      <c r="E9">
        <v>1.6789534799999999E-2</v>
      </c>
      <c r="F9">
        <v>5.3303275248701596E-3</v>
      </c>
      <c r="G9">
        <v>5.3666897897797902E-3</v>
      </c>
      <c r="H9">
        <v>5.3715456590938604E-3</v>
      </c>
      <c r="I9">
        <v>5.3854106792802304E-3</v>
      </c>
      <c r="J9">
        <v>5.3675594563849299E-3</v>
      </c>
      <c r="K9">
        <v>5.3343192877372001E-3</v>
      </c>
      <c r="L9">
        <v>5.2933450672800596E-3</v>
      </c>
      <c r="M9">
        <v>5.2685274504632399E-3</v>
      </c>
      <c r="N9">
        <v>5.2195426884083197E-3</v>
      </c>
      <c r="O9">
        <v>5.1806964515815398E-3</v>
      </c>
      <c r="P9">
        <v>5.1450844506709696E-3</v>
      </c>
      <c r="Q9">
        <v>5.1275323556881003E-3</v>
      </c>
      <c r="R9">
        <v>5.1224933862524802E-3</v>
      </c>
      <c r="S9">
        <v>5.11345445767971E-3</v>
      </c>
      <c r="T9">
        <v>5.0959900227651204E-3</v>
      </c>
      <c r="U9">
        <v>5.0567869850745304E-3</v>
      </c>
      <c r="V9">
        <v>5.0364309475250798E-3</v>
      </c>
      <c r="W9">
        <v>5.00786609771239E-3</v>
      </c>
      <c r="X9">
        <v>4.9920240534995202E-3</v>
      </c>
      <c r="Y9">
        <v>4.9815630896118696E-3</v>
      </c>
      <c r="Z9">
        <v>4.9604328650467702E-3</v>
      </c>
      <c r="AA9">
        <v>4.9410991043559198E-3</v>
      </c>
      <c r="AB9">
        <v>4.9291817823146396E-3</v>
      </c>
      <c r="AC9">
        <v>4.9167722303946598E-3</v>
      </c>
      <c r="AD9">
        <v>4.8986058986366697E-3</v>
      </c>
      <c r="AE9">
        <v>4.8761251859699099E-3</v>
      </c>
      <c r="AF9">
        <v>4.8575434911344896E-3</v>
      </c>
      <c r="AG9">
        <v>4.8405616162235498E-3</v>
      </c>
      <c r="AH9">
        <v>4.8215408470563799E-3</v>
      </c>
      <c r="AI9">
        <v>4.8024045865480303E-3</v>
      </c>
      <c r="AJ9">
        <v>4.7842670607039801E-3</v>
      </c>
      <c r="AK9">
        <v>4.7625326892746398E-3</v>
      </c>
      <c r="AL9">
        <v>4.74798755313585E-3</v>
      </c>
      <c r="AM9">
        <v>4.7295916323596603E-3</v>
      </c>
      <c r="AO9" t="str">
        <f t="shared" si="0"/>
        <v>Efficient uncompeted_Best Commercial Electric HPWH</v>
      </c>
      <c r="AP9" s="111">
        <f t="shared" ref="AP9:BY9" si="5">(D8-D9)*293071083333.33</f>
        <v>0</v>
      </c>
      <c r="AQ9" s="111">
        <f t="shared" si="5"/>
        <v>0</v>
      </c>
      <c r="AR9" s="111">
        <f t="shared" si="5"/>
        <v>3248816234.7473149</v>
      </c>
      <c r="AS9" s="111">
        <f t="shared" si="5"/>
        <v>3131181444.5999999</v>
      </c>
      <c r="AT9" s="111">
        <f t="shared" si="5"/>
        <v>3007725844.405488</v>
      </c>
      <c r="AU9" s="209">
        <f t="shared" si="5"/>
        <v>2905735534.592844</v>
      </c>
      <c r="AV9" s="111">
        <f t="shared" si="5"/>
        <v>2797875789.6544213</v>
      </c>
      <c r="AW9" s="111">
        <f t="shared" si="5"/>
        <v>2714751689.9454222</v>
      </c>
      <c r="AX9" s="111">
        <f t="shared" si="5"/>
        <v>2646546920.9782548</v>
      </c>
      <c r="AY9" s="111">
        <f t="shared" si="5"/>
        <v>2584007964.7855525</v>
      </c>
      <c r="AZ9" s="111">
        <f t="shared" si="5"/>
        <v>2515049161.1498713</v>
      </c>
      <c r="BA9" s="111">
        <f t="shared" si="5"/>
        <v>2450502420.9181123</v>
      </c>
      <c r="BB9" s="111">
        <f t="shared" si="5"/>
        <v>2397622927.8866925</v>
      </c>
      <c r="BC9" s="111">
        <f t="shared" si="5"/>
        <v>2347751829.4724879</v>
      </c>
      <c r="BD9" s="111">
        <f t="shared" si="5"/>
        <v>2309143571.621891</v>
      </c>
      <c r="BE9" s="111">
        <f t="shared" si="5"/>
        <v>2269386618.2992454</v>
      </c>
      <c r="BF9" s="111">
        <f t="shared" si="5"/>
        <v>2228171155.5078673</v>
      </c>
      <c r="BG9" s="111">
        <f t="shared" si="5"/>
        <v>2181278148.9097819</v>
      </c>
      <c r="BH9" s="111">
        <f t="shared" si="5"/>
        <v>2141651345.336405</v>
      </c>
      <c r="BI9" s="111">
        <f t="shared" si="5"/>
        <v>2102017582.9500067</v>
      </c>
      <c r="BJ9" s="111">
        <f t="shared" si="5"/>
        <v>2065624123.8869379</v>
      </c>
      <c r="BK9" s="111">
        <f t="shared" si="5"/>
        <v>2030492471.4699433</v>
      </c>
      <c r="BL9" s="111">
        <f t="shared" si="5"/>
        <v>1992207632.527144</v>
      </c>
      <c r="BM9" s="111">
        <f t="shared" si="5"/>
        <v>1958124105.1802473</v>
      </c>
      <c r="BN9" s="111">
        <f t="shared" si="5"/>
        <v>1924873969.1623394</v>
      </c>
      <c r="BO9" s="111">
        <f t="shared" si="5"/>
        <v>1894914212.5650525</v>
      </c>
      <c r="BP9" s="111">
        <f t="shared" si="5"/>
        <v>1862501612.0890756</v>
      </c>
      <c r="BQ9" s="111">
        <f t="shared" si="5"/>
        <v>1833540898.4585776</v>
      </c>
      <c r="BR9" s="111">
        <f t="shared" si="5"/>
        <v>1804519103.3453896</v>
      </c>
      <c r="BS9" s="111">
        <f t="shared" si="5"/>
        <v>1776408628.5164983</v>
      </c>
      <c r="BT9" s="111">
        <f t="shared" si="5"/>
        <v>1748874223.1332941</v>
      </c>
      <c r="BU9" s="111">
        <f t="shared" si="5"/>
        <v>1722936779.7649665</v>
      </c>
      <c r="BV9" s="111">
        <f t="shared" si="5"/>
        <v>1698212976.0384288</v>
      </c>
      <c r="BW9" s="111">
        <f t="shared" si="5"/>
        <v>1673007537.3073955</v>
      </c>
      <c r="BX9" s="111">
        <f t="shared" si="5"/>
        <v>1650356780.6585703</v>
      </c>
      <c r="BY9" s="111">
        <f t="shared" si="5"/>
        <v>1626804197.3709517</v>
      </c>
      <c r="CA9" s="9">
        <f t="shared" ref="CA9:DJ9" si="6">(D8-D9)/D8</f>
        <v>0</v>
      </c>
      <c r="CB9" s="9">
        <f t="shared" si="6"/>
        <v>0</v>
      </c>
      <c r="CC9" s="9">
        <f t="shared" si="6"/>
        <v>0.67529183117868019</v>
      </c>
      <c r="CD9" s="9">
        <f t="shared" si="6"/>
        <v>0.66564188440489669</v>
      </c>
      <c r="CE9" s="9">
        <f t="shared" si="6"/>
        <v>0.65642627154758104</v>
      </c>
      <c r="CF9" s="9">
        <f t="shared" si="6"/>
        <v>0.64801677775341826</v>
      </c>
      <c r="CG9" s="9">
        <f t="shared" si="6"/>
        <v>0.64010669227564698</v>
      </c>
      <c r="CH9" s="9">
        <f t="shared" si="6"/>
        <v>0.6345714933901947</v>
      </c>
      <c r="CI9" s="9">
        <f t="shared" si="6"/>
        <v>0.63044945271926722</v>
      </c>
      <c r="CJ9" s="9">
        <f t="shared" si="6"/>
        <v>0.62596166992411995</v>
      </c>
      <c r="CK9" s="9">
        <f t="shared" si="6"/>
        <v>0.62180642299158917</v>
      </c>
      <c r="CL9" s="9">
        <f t="shared" si="6"/>
        <v>0.61743935657566917</v>
      </c>
      <c r="CM9" s="9">
        <f t="shared" si="6"/>
        <v>0.61390959137288448</v>
      </c>
      <c r="CN9" s="9">
        <f t="shared" si="6"/>
        <v>0.60972913049227706</v>
      </c>
      <c r="CO9" s="9">
        <f t="shared" si="6"/>
        <v>0.60601108216349286</v>
      </c>
      <c r="CP9" s="9">
        <f t="shared" si="6"/>
        <v>0.6022800643535825</v>
      </c>
      <c r="CQ9" s="9">
        <f t="shared" si="6"/>
        <v>0.59870382309136116</v>
      </c>
      <c r="CR9" s="9">
        <f t="shared" si="6"/>
        <v>0.59544463384222546</v>
      </c>
      <c r="CS9" s="9">
        <f t="shared" si="6"/>
        <v>0.59199520210499679</v>
      </c>
      <c r="CT9" s="9">
        <f t="shared" si="6"/>
        <v>0.58885350200777764</v>
      </c>
      <c r="CU9" s="9">
        <f t="shared" si="6"/>
        <v>0.58538783799391347</v>
      </c>
      <c r="CV9" s="9">
        <f t="shared" si="6"/>
        <v>0.58172889868798328</v>
      </c>
      <c r="CW9" s="9">
        <f t="shared" si="6"/>
        <v>0.57812729904827542</v>
      </c>
      <c r="CX9" s="9">
        <f t="shared" si="6"/>
        <v>0.5748676291066106</v>
      </c>
      <c r="CY9" s="9">
        <f t="shared" si="6"/>
        <v>0.57126828056064294</v>
      </c>
      <c r="CZ9" s="9">
        <f t="shared" si="6"/>
        <v>0.56804062553850421</v>
      </c>
      <c r="DA9" s="9">
        <f t="shared" si="6"/>
        <v>0.56471248944516095</v>
      </c>
      <c r="DB9" s="9">
        <f t="shared" si="6"/>
        <v>0.56198899284423565</v>
      </c>
      <c r="DC9" s="9">
        <f t="shared" si="6"/>
        <v>0.55899920432709538</v>
      </c>
      <c r="DD9" s="9">
        <f t="shared" si="6"/>
        <v>0.55598995598440215</v>
      </c>
      <c r="DE9" s="9">
        <f t="shared" si="6"/>
        <v>0.5531036726447085</v>
      </c>
      <c r="DF9" s="9">
        <f t="shared" si="6"/>
        <v>0.55039174052579853</v>
      </c>
      <c r="DG9" s="9">
        <f t="shared" si="6"/>
        <v>0.54774997739501829</v>
      </c>
      <c r="DH9" s="9">
        <f t="shared" si="6"/>
        <v>0.54517234748964116</v>
      </c>
      <c r="DI9" s="9">
        <f t="shared" si="6"/>
        <v>0.54254952253486688</v>
      </c>
      <c r="DJ9" s="9">
        <f t="shared" si="6"/>
        <v>0.53994437184818045</v>
      </c>
    </row>
    <row r="10" spans="1:114" x14ac:dyDescent="0.3">
      <c r="A10" t="s">
        <v>830</v>
      </c>
      <c r="B10" t="s">
        <v>686</v>
      </c>
      <c r="C10" t="s">
        <v>22</v>
      </c>
      <c r="D10">
        <v>8.1755339499999996E-2</v>
      </c>
      <c r="E10">
        <v>8.4071122799999995E-2</v>
      </c>
      <c r="F10">
        <v>8.5088139500000007E-2</v>
      </c>
      <c r="G10">
        <v>8.6336642500000005E-2</v>
      </c>
      <c r="H10">
        <v>8.7456534200000005E-2</v>
      </c>
      <c r="I10">
        <v>8.8342426099999996E-2</v>
      </c>
      <c r="J10">
        <v>8.8953977700000006E-2</v>
      </c>
      <c r="K10">
        <v>8.9432380300000003E-2</v>
      </c>
      <c r="L10">
        <v>8.9738845600000006E-2</v>
      </c>
      <c r="M10">
        <v>8.9912776599999994E-2</v>
      </c>
      <c r="N10">
        <v>9.0131241900000006E-2</v>
      </c>
      <c r="O10">
        <v>9.0598574000000001E-2</v>
      </c>
      <c r="P10">
        <v>9.1301864100000005E-2</v>
      </c>
      <c r="Q10">
        <v>9.2097228000000003E-2</v>
      </c>
      <c r="R10">
        <v>9.2921589200000002E-2</v>
      </c>
      <c r="S10">
        <v>9.3782125999999993E-2</v>
      </c>
      <c r="T10">
        <v>9.4715410099999994E-2</v>
      </c>
      <c r="U10">
        <v>9.5574083399999996E-2</v>
      </c>
      <c r="V10">
        <v>9.6380603999999995E-2</v>
      </c>
      <c r="W10">
        <v>9.7207407300000007E-2</v>
      </c>
      <c r="X10">
        <v>9.8053280000000007E-2</v>
      </c>
      <c r="Y10">
        <v>9.8876612500000002E-2</v>
      </c>
      <c r="Z10">
        <v>9.9684386900000005E-2</v>
      </c>
      <c r="AA10">
        <v>0.1005448406</v>
      </c>
      <c r="AB10">
        <v>0.1014310075</v>
      </c>
      <c r="AC10">
        <v>0.1023005698</v>
      </c>
      <c r="AD10">
        <v>0.103193479</v>
      </c>
      <c r="AE10">
        <v>0.10407107779999999</v>
      </c>
      <c r="AF10">
        <v>0.10490496370000001</v>
      </c>
      <c r="AG10">
        <v>0.1057201131</v>
      </c>
      <c r="AH10">
        <v>0.1065230264</v>
      </c>
      <c r="AI10">
        <v>0.1073353289</v>
      </c>
      <c r="AJ10">
        <v>0.1081527009</v>
      </c>
      <c r="AK10">
        <v>0.108931631</v>
      </c>
      <c r="AL10">
        <v>0.1096463543</v>
      </c>
      <c r="AM10">
        <v>0.11037302340000001</v>
      </c>
      <c r="AO10" t="str">
        <f t="shared" si="0"/>
        <v>Baseline uncompeted_Best Commercial Electric HPWH (FS)</v>
      </c>
      <c r="AP10" s="111"/>
      <c r="AQ10" s="111"/>
      <c r="AR10" s="111"/>
      <c r="AS10" s="111"/>
      <c r="AT10" s="111"/>
      <c r="AU10" s="209"/>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row>
    <row r="11" spans="1:114" x14ac:dyDescent="0.3">
      <c r="A11" t="s">
        <v>830</v>
      </c>
      <c r="B11" t="s">
        <v>685</v>
      </c>
      <c r="C11" t="s">
        <v>22</v>
      </c>
      <c r="D11">
        <v>8.1755339499999996E-2</v>
      </c>
      <c r="E11">
        <v>8.4071122799999995E-2</v>
      </c>
      <c r="F11">
        <v>5.5750991616241002E-2</v>
      </c>
      <c r="G11">
        <v>5.6166650998000202E-2</v>
      </c>
      <c r="H11">
        <v>5.6591751669445599E-2</v>
      </c>
      <c r="I11">
        <v>5.6809787762657299E-2</v>
      </c>
      <c r="J11">
        <v>5.6562640049640497E-2</v>
      </c>
      <c r="K11">
        <v>5.6322643797083002E-2</v>
      </c>
      <c r="L11">
        <v>5.6106258955755398E-2</v>
      </c>
      <c r="M11">
        <v>5.6088581300179297E-2</v>
      </c>
      <c r="N11">
        <v>5.5955527091162499E-2</v>
      </c>
      <c r="O11">
        <v>5.6031417777384303E-2</v>
      </c>
      <c r="P11">
        <v>5.6319586958295503E-2</v>
      </c>
      <c r="Q11">
        <v>5.6709224670845E-2</v>
      </c>
      <c r="R11">
        <v>5.72677232269789E-2</v>
      </c>
      <c r="S11">
        <v>5.7786519456494802E-2</v>
      </c>
      <c r="T11">
        <v>5.8287788592157698E-2</v>
      </c>
      <c r="U11">
        <v>5.85451612470064E-2</v>
      </c>
      <c r="V11">
        <v>5.8961848346128498E-2</v>
      </c>
      <c r="W11">
        <v>5.9329504046062097E-2</v>
      </c>
      <c r="X11">
        <v>5.9808359465618299E-2</v>
      </c>
      <c r="Y11">
        <v>6.0325727040209602E-2</v>
      </c>
      <c r="Z11">
        <v>6.0745277669058899E-2</v>
      </c>
      <c r="AA11">
        <v>6.1221954130099399E-2</v>
      </c>
      <c r="AB11">
        <v>6.1739467882952502E-2</v>
      </c>
      <c r="AC11">
        <v>6.2220190361492199E-2</v>
      </c>
      <c r="AD11">
        <v>6.2686733899883398E-2</v>
      </c>
      <c r="AE11">
        <v>6.3123770074843905E-2</v>
      </c>
      <c r="AF11">
        <v>6.3544835207725303E-2</v>
      </c>
      <c r="AG11">
        <v>6.3956232606892705E-2</v>
      </c>
      <c r="AH11">
        <v>6.4356737387147506E-2</v>
      </c>
      <c r="AI11">
        <v>6.4775930481329E-2</v>
      </c>
      <c r="AJ11">
        <v>6.5246934613388693E-2</v>
      </c>
      <c r="AK11">
        <v>6.5657285448221706E-2</v>
      </c>
      <c r="AL11">
        <v>6.6054342554805898E-2</v>
      </c>
      <c r="AM11">
        <v>6.6421809051997696E-2</v>
      </c>
      <c r="AO11" t="str">
        <f t="shared" si="0"/>
        <v>Efficient uncompeted_Best Commercial Electric HPWH (FS)</v>
      </c>
      <c r="AP11" s="111">
        <f t="shared" ref="AP11:BY11" si="7">(D10-D11)*293071083333.33</f>
        <v>0</v>
      </c>
      <c r="AQ11" s="111">
        <f t="shared" si="7"/>
        <v>0</v>
      </c>
      <c r="AR11" s="111">
        <f t="shared" si="7"/>
        <v>8597869712.2033615</v>
      </c>
      <c r="AS11" s="111">
        <f t="shared" si="7"/>
        <v>8841952093.6484432</v>
      </c>
      <c r="AT11" s="111">
        <f t="shared" si="7"/>
        <v>9045575253.077219</v>
      </c>
      <c r="AU11" s="209">
        <f t="shared" si="7"/>
        <v>9241304477.8831177</v>
      </c>
      <c r="AV11" s="111">
        <f t="shared" si="7"/>
        <v>9492964415.8065414</v>
      </c>
      <c r="AW11" s="111">
        <f t="shared" si="7"/>
        <v>9703506345.790987</v>
      </c>
      <c r="AX11" s="111">
        <f t="shared" si="7"/>
        <v>9856738603.1308537</v>
      </c>
      <c r="AY11" s="111">
        <f t="shared" si="7"/>
        <v>9912893559.3965816</v>
      </c>
      <c r="AZ11" s="111">
        <f t="shared" si="7"/>
        <v>10015913762.716938</v>
      </c>
      <c r="BA11" s="111">
        <f t="shared" si="7"/>
        <v>10130633921.914442</v>
      </c>
      <c r="BB11" s="111">
        <f t="shared" si="7"/>
        <v>10252293859.386126</v>
      </c>
      <c r="BC11" s="111">
        <f t="shared" si="7"/>
        <v>10371200472.678946</v>
      </c>
      <c r="BD11" s="111">
        <f t="shared" si="7"/>
        <v>10449117125.734646</v>
      </c>
      <c r="BE11" s="111">
        <f t="shared" si="7"/>
        <v>10549271404.94537</v>
      </c>
      <c r="BF11" s="111">
        <f t="shared" si="7"/>
        <v>10675882498.559855</v>
      </c>
      <c r="BG11" s="111">
        <f t="shared" si="7"/>
        <v>10852106330.043377</v>
      </c>
      <c r="BH11" s="111">
        <f t="shared" si="7"/>
        <v>10966355256.465286</v>
      </c>
      <c r="BI11" s="111">
        <f t="shared" si="7"/>
        <v>11100918141.026649</v>
      </c>
      <c r="BJ11" s="111">
        <f t="shared" si="7"/>
        <v>11208480293.008366</v>
      </c>
      <c r="BK11" s="111">
        <f t="shared" si="7"/>
        <v>11298149765.159893</v>
      </c>
      <c r="BL11" s="111">
        <f t="shared" si="7"/>
        <v>11411926926.346781</v>
      </c>
      <c r="BM11" s="111">
        <f t="shared" si="7"/>
        <v>11524400937.527315</v>
      </c>
      <c r="BN11" s="111">
        <f t="shared" si="7"/>
        <v>11632442514.735899</v>
      </c>
      <c r="BO11" s="111">
        <f t="shared" si="7"/>
        <v>11746400222.454409</v>
      </c>
      <c r="BP11" s="111">
        <f t="shared" si="7"/>
        <v>11871355668.798231</v>
      </c>
      <c r="BQ11" s="111">
        <f t="shared" si="7"/>
        <v>12000471834.594728</v>
      </c>
      <c r="BR11" s="111">
        <f t="shared" si="7"/>
        <v>12121457664.036676</v>
      </c>
      <c r="BS11" s="111">
        <f t="shared" si="7"/>
        <v>12239785700.318684</v>
      </c>
      <c r="BT11" s="111">
        <f t="shared" si="7"/>
        <v>12357720001.142971</v>
      </c>
      <c r="BU11" s="111">
        <f t="shared" si="7"/>
        <v>12472929000.574722</v>
      </c>
      <c r="BV11" s="111">
        <f t="shared" si="7"/>
        <v>12574439406.863842</v>
      </c>
      <c r="BW11" s="111">
        <f t="shared" si="7"/>
        <v>12682459331.400536</v>
      </c>
      <c r="BX11" s="111">
        <f t="shared" si="7"/>
        <v>12775558106.843281</v>
      </c>
      <c r="BY11" s="111">
        <f t="shared" si="7"/>
        <v>12880830002.784435</v>
      </c>
      <c r="CA11" s="9">
        <f t="shared" ref="CA11:DJ11" si="8">(D10-D11)/D10</f>
        <v>0</v>
      </c>
      <c r="CB11" s="9">
        <f t="shared" si="8"/>
        <v>0</v>
      </c>
      <c r="CC11" s="9">
        <f t="shared" si="8"/>
        <v>0.34478539613337067</v>
      </c>
      <c r="CD11" s="9">
        <f t="shared" si="8"/>
        <v>0.34944596672264389</v>
      </c>
      <c r="CE11" s="9">
        <f t="shared" si="8"/>
        <v>0.35291568334929974</v>
      </c>
      <c r="CF11" s="9">
        <f t="shared" si="8"/>
        <v>0.35693652222827849</v>
      </c>
      <c r="CG11" s="9">
        <f t="shared" si="8"/>
        <v>0.36413591036479875</v>
      </c>
      <c r="CH11" s="9">
        <f t="shared" si="8"/>
        <v>0.37022090200272795</v>
      </c>
      <c r="CI11" s="9">
        <f t="shared" si="8"/>
        <v>0.37478292058890278</v>
      </c>
      <c r="CJ11" s="9">
        <f t="shared" si="8"/>
        <v>0.37618897534770046</v>
      </c>
      <c r="CK11" s="9">
        <f t="shared" si="8"/>
        <v>0.37917723187210967</v>
      </c>
      <c r="CL11" s="9">
        <f t="shared" si="8"/>
        <v>0.38154194593190505</v>
      </c>
      <c r="CM11" s="9">
        <f t="shared" si="8"/>
        <v>0.38314964854813405</v>
      </c>
      <c r="CN11" s="9">
        <f t="shared" si="8"/>
        <v>0.38424612876681807</v>
      </c>
      <c r="CO11" s="9">
        <f t="shared" si="8"/>
        <v>0.38369840937913169</v>
      </c>
      <c r="CP11" s="9">
        <f t="shared" si="8"/>
        <v>0.3838216094984368</v>
      </c>
      <c r="CQ11" s="9">
        <f t="shared" si="8"/>
        <v>0.38460078955876575</v>
      </c>
      <c r="CR11" s="9">
        <f t="shared" si="8"/>
        <v>0.38743685354552504</v>
      </c>
      <c r="CS11" s="9">
        <f t="shared" si="8"/>
        <v>0.38823948077635517</v>
      </c>
      <c r="CT11" s="9">
        <f t="shared" si="8"/>
        <v>0.38966066790609594</v>
      </c>
      <c r="CU11" s="9">
        <f t="shared" si="8"/>
        <v>0.39004223555175005</v>
      </c>
      <c r="CV11" s="9">
        <f t="shared" si="8"/>
        <v>0.38988881683007093</v>
      </c>
      <c r="CW11" s="9">
        <f t="shared" si="8"/>
        <v>0.39062395267579364</v>
      </c>
      <c r="CX11" s="9">
        <f t="shared" si="8"/>
        <v>0.39109800398749256</v>
      </c>
      <c r="CY11" s="9">
        <f t="shared" si="8"/>
        <v>0.3913156400132129</v>
      </c>
      <c r="CZ11" s="9">
        <f t="shared" si="8"/>
        <v>0.39179038315100179</v>
      </c>
      <c r="DA11" s="9">
        <f t="shared" si="8"/>
        <v>0.39253202326977082</v>
      </c>
      <c r="DB11" s="9">
        <f t="shared" si="8"/>
        <v>0.39345520956213342</v>
      </c>
      <c r="DC11" s="9">
        <f t="shared" si="8"/>
        <v>0.39426283593742573</v>
      </c>
      <c r="DD11" s="9">
        <f t="shared" si="8"/>
        <v>0.39504195813338849</v>
      </c>
      <c r="DE11" s="9">
        <f t="shared" si="8"/>
        <v>0.39584201123347446</v>
      </c>
      <c r="DF11" s="9">
        <f t="shared" si="8"/>
        <v>0.39650876235094856</v>
      </c>
      <c r="DG11" s="9">
        <f t="shared" si="8"/>
        <v>0.39671469995264169</v>
      </c>
      <c r="DH11" s="9">
        <f t="shared" si="8"/>
        <v>0.39726152224580474</v>
      </c>
      <c r="DI11" s="9">
        <f t="shared" si="8"/>
        <v>0.39756918525465373</v>
      </c>
      <c r="DJ11" s="9">
        <f t="shared" si="8"/>
        <v>0.39820612858198018</v>
      </c>
    </row>
    <row r="12" spans="1:114" x14ac:dyDescent="0.3">
      <c r="A12" t="s">
        <v>829</v>
      </c>
      <c r="B12" t="s">
        <v>686</v>
      </c>
      <c r="C12" t="s">
        <v>679</v>
      </c>
      <c r="D12">
        <v>0.17879536959494999</v>
      </c>
      <c r="E12">
        <v>0.18131853124531</v>
      </c>
      <c r="F12">
        <v>0.16757160330175599</v>
      </c>
      <c r="G12">
        <v>0.18181003617139099</v>
      </c>
      <c r="H12">
        <v>0.16612259691658801</v>
      </c>
      <c r="I12">
        <v>0.173122713116312</v>
      </c>
      <c r="J12">
        <v>0.17235543382712901</v>
      </c>
      <c r="K12">
        <v>0.17120757345944401</v>
      </c>
      <c r="L12">
        <v>0.16979913072611999</v>
      </c>
      <c r="M12">
        <v>0.16857380324193799</v>
      </c>
      <c r="N12">
        <v>0.16685540048723199</v>
      </c>
      <c r="O12">
        <v>0.165470524291988</v>
      </c>
      <c r="P12">
        <v>0.16460864541735501</v>
      </c>
      <c r="Q12">
        <v>0.164078089844655</v>
      </c>
      <c r="R12">
        <v>0.16405743704006601</v>
      </c>
      <c r="S12">
        <v>0.16391640114868899</v>
      </c>
      <c r="T12">
        <v>0.163743022828021</v>
      </c>
      <c r="U12">
        <v>0.163115173190614</v>
      </c>
      <c r="V12">
        <v>0.162906304461058</v>
      </c>
      <c r="W12">
        <v>0.16272073505488899</v>
      </c>
      <c r="X12">
        <v>0.16278166906187999</v>
      </c>
      <c r="Y12">
        <v>0.16290580951452799</v>
      </c>
      <c r="Z12">
        <v>0.16293084418249501</v>
      </c>
      <c r="AA12">
        <v>0.16306555552345101</v>
      </c>
      <c r="AB12">
        <v>0.163358162149112</v>
      </c>
      <c r="AC12">
        <v>0.16373591457269701</v>
      </c>
      <c r="AD12">
        <v>0.16402273504819201</v>
      </c>
      <c r="AE12">
        <v>0.16444695389045899</v>
      </c>
      <c r="AF12">
        <v>0.164921934167125</v>
      </c>
      <c r="AG12">
        <v>0.16542259864529499</v>
      </c>
      <c r="AH12">
        <v>0.16593883629853701</v>
      </c>
      <c r="AI12">
        <v>0.16657882206341301</v>
      </c>
      <c r="AJ12">
        <v>0.167286235826792</v>
      </c>
      <c r="AK12">
        <v>0.16791485530193101</v>
      </c>
      <c r="AL12">
        <v>0.16870878786594801</v>
      </c>
      <c r="AM12">
        <v>0.16962233137125801</v>
      </c>
      <c r="AO12" t="str">
        <f t="shared" si="0"/>
        <v>Baseline uncompeted_Best Commercial Fenestration</v>
      </c>
      <c r="AP12" s="111"/>
      <c r="AQ12" s="111"/>
      <c r="AR12" s="111"/>
      <c r="AS12" s="111"/>
      <c r="AT12" s="111"/>
      <c r="AU12" s="209"/>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row>
    <row r="13" spans="1:114" x14ac:dyDescent="0.3">
      <c r="A13" t="s">
        <v>829</v>
      </c>
      <c r="B13" t="s">
        <v>685</v>
      </c>
      <c r="C13" t="s">
        <v>679</v>
      </c>
      <c r="D13">
        <v>9.8887378240011106E-2</v>
      </c>
      <c r="E13">
        <v>0.11211077507925001</v>
      </c>
      <c r="F13">
        <v>0.10536342825804899</v>
      </c>
      <c r="G13">
        <v>9.6408942575322606E-2</v>
      </c>
      <c r="H13">
        <v>8.2911149862195693E-2</v>
      </c>
      <c r="I13">
        <v>9.9174167398487001E-2</v>
      </c>
      <c r="J13">
        <v>0.10203575335640699</v>
      </c>
      <c r="K13">
        <v>0.104891684079885</v>
      </c>
      <c r="L13">
        <v>0.107605474859475</v>
      </c>
      <c r="M13">
        <v>0.110699231553974</v>
      </c>
      <c r="N13">
        <v>0.113240165786679</v>
      </c>
      <c r="O13">
        <v>0.11599110996265299</v>
      </c>
      <c r="P13">
        <v>0.119151454077898</v>
      </c>
      <c r="Q13">
        <v>0.12259813204447401</v>
      </c>
      <c r="R13">
        <v>0.126586687143979</v>
      </c>
      <c r="S13">
        <v>0.13045249093210301</v>
      </c>
      <c r="T13">
        <v>0.134256258686202</v>
      </c>
      <c r="U13">
        <v>0.13758509864239901</v>
      </c>
      <c r="V13">
        <v>0.141426660787212</v>
      </c>
      <c r="W13">
        <v>0.14522279593312101</v>
      </c>
      <c r="X13">
        <v>0.14929634478509801</v>
      </c>
      <c r="Y13">
        <v>0.15342709502881799</v>
      </c>
      <c r="Z13">
        <v>0.15742689399512699</v>
      </c>
      <c r="AA13">
        <v>0.161515108066725</v>
      </c>
      <c r="AB13">
        <v>0.165752283937048</v>
      </c>
      <c r="AC13">
        <v>0.17006559965515899</v>
      </c>
      <c r="AD13">
        <v>0.174293149900931</v>
      </c>
      <c r="AE13">
        <v>0.17868358471559201</v>
      </c>
      <c r="AF13">
        <v>0.18307352903475699</v>
      </c>
      <c r="AG13">
        <v>0.187502354620945</v>
      </c>
      <c r="AH13">
        <v>0.19192165371978301</v>
      </c>
      <c r="AI13">
        <v>0.19644865556029401</v>
      </c>
      <c r="AJ13">
        <v>0.201015306418658</v>
      </c>
      <c r="AK13">
        <v>0.205499948502813</v>
      </c>
      <c r="AL13">
        <v>0.21014474757297999</v>
      </c>
      <c r="AM13">
        <v>0.21492714813060801</v>
      </c>
      <c r="AO13" t="str">
        <f t="shared" si="0"/>
        <v>Efficient uncompeted_Best Commercial Fenestration</v>
      </c>
      <c r="AP13" s="111">
        <f t="shared" ref="AP13:BY13" si="9">(D12-D13)*293071083333.33</f>
        <v>23418721593.382309</v>
      </c>
      <c r="AQ13" s="111">
        <f t="shared" si="9"/>
        <v>20282792074.656155</v>
      </c>
      <c r="AR13" s="111">
        <f t="shared" si="9"/>
        <v>18231417252.248634</v>
      </c>
      <c r="AS13" s="111">
        <f t="shared" si="9"/>
        <v>25028591018.050873</v>
      </c>
      <c r="AT13" s="111">
        <f t="shared" si="9"/>
        <v>24386868933.96479</v>
      </c>
      <c r="AU13" s="209">
        <f t="shared" si="9"/>
        <v>21672180404.447254</v>
      </c>
      <c r="AV13" s="111">
        <f t="shared" si="9"/>
        <v>20608664935.208111</v>
      </c>
      <c r="AW13" s="111">
        <f t="shared" si="9"/>
        <v>19435269542.680634</v>
      </c>
      <c r="AX13" s="111">
        <f t="shared" si="9"/>
        <v>18227162101.297962</v>
      </c>
      <c r="AY13" s="111">
        <f t="shared" si="9"/>
        <v>16961363422.044077</v>
      </c>
      <c r="AZ13" s="111">
        <f t="shared" si="9"/>
        <v>15713074916.861813</v>
      </c>
      <c r="BA13" s="111">
        <f t="shared" si="9"/>
        <v>14500985560.196901</v>
      </c>
      <c r="BB13" s="111">
        <f t="shared" si="9"/>
        <v>13322188311.145134</v>
      </c>
      <c r="BC13" s="111">
        <f t="shared" si="9"/>
        <v>12156576169.119856</v>
      </c>
      <c r="BD13" s="111">
        <f t="shared" si="9"/>
        <v>10981593265.358482</v>
      </c>
      <c r="BE13" s="111">
        <f t="shared" si="9"/>
        <v>9807304419.7441444</v>
      </c>
      <c r="BF13" s="111">
        <f t="shared" si="9"/>
        <v>8641717911.0372829</v>
      </c>
      <c r="BG13" s="111">
        <f t="shared" si="9"/>
        <v>7482126605.4260426</v>
      </c>
      <c r="BH13" s="111">
        <f t="shared" si="9"/>
        <v>6295062441.1079559</v>
      </c>
      <c r="BI13" s="111">
        <f t="shared" si="9"/>
        <v>5128139974.5171976</v>
      </c>
      <c r="BJ13" s="111">
        <f t="shared" si="9"/>
        <v>3952158594.8977499</v>
      </c>
      <c r="BK13" s="111">
        <f t="shared" si="9"/>
        <v>2777937122.9343576</v>
      </c>
      <c r="BL13" s="111">
        <f t="shared" si="9"/>
        <v>1613048644.0246296</v>
      </c>
      <c r="BM13" s="111">
        <f t="shared" si="9"/>
        <v>454391315.79409534</v>
      </c>
      <c r="BN13" s="111">
        <f t="shared" si="9"/>
        <v>-701647866.02233052</v>
      </c>
      <c r="BO13" s="111">
        <f t="shared" si="9"/>
        <v>-1855047664.2759519</v>
      </c>
      <c r="BP13" s="111">
        <f t="shared" si="9"/>
        <v>-3009961607.1749406</v>
      </c>
      <c r="BQ13" s="111">
        <f t="shared" si="9"/>
        <v>-4172344818.9384136</v>
      </c>
      <c r="BR13" s="111">
        <f t="shared" si="9"/>
        <v>-5319707572.0846195</v>
      </c>
      <c r="BS13" s="111">
        <f t="shared" si="9"/>
        <v>-6470938003.5193157</v>
      </c>
      <c r="BT13" s="111">
        <f t="shared" si="9"/>
        <v>-7614812449.6966858</v>
      </c>
      <c r="BU13" s="111">
        <f t="shared" si="9"/>
        <v>-8753984461.9171028</v>
      </c>
      <c r="BV13" s="111">
        <f t="shared" si="9"/>
        <v>-9885015258.1845322</v>
      </c>
      <c r="BW13" s="111">
        <f t="shared" si="9"/>
        <v>-11015103981.566662</v>
      </c>
      <c r="BX13" s="111">
        <f t="shared" si="9"/>
        <v>-12143681600.296076</v>
      </c>
      <c r="BY13" s="111">
        <f t="shared" si="9"/>
        <v>-13277531727.880709</v>
      </c>
      <c r="CA13" s="9">
        <f t="shared" ref="CA13:DJ13" si="10">(D12-D13)/D12</f>
        <v>0.4469242773790259</v>
      </c>
      <c r="CB13" s="9">
        <f t="shared" si="10"/>
        <v>0.38169157719696745</v>
      </c>
      <c r="CC13" s="9">
        <f t="shared" si="10"/>
        <v>0.37123339407145911</v>
      </c>
      <c r="CD13" s="9">
        <f t="shared" si="10"/>
        <v>0.46972705904728712</v>
      </c>
      <c r="CE13" s="9">
        <f t="shared" si="10"/>
        <v>0.5009038420954478</v>
      </c>
      <c r="CF13" s="9">
        <f t="shared" si="10"/>
        <v>0.42714525660271324</v>
      </c>
      <c r="CG13" s="9">
        <f t="shared" si="10"/>
        <v>0.40799224549689589</v>
      </c>
      <c r="CH13" s="9">
        <f t="shared" si="10"/>
        <v>0.38734203189479843</v>
      </c>
      <c r="CI13" s="9">
        <f t="shared" si="10"/>
        <v>0.36627782251112445</v>
      </c>
      <c r="CJ13" s="9">
        <f t="shared" si="10"/>
        <v>0.34331889400930288</v>
      </c>
      <c r="CK13" s="9">
        <f t="shared" si="10"/>
        <v>0.32132753596222796</v>
      </c>
      <c r="CL13" s="9">
        <f t="shared" si="10"/>
        <v>0.2990225270696793</v>
      </c>
      <c r="CM13" s="9">
        <f t="shared" si="10"/>
        <v>0.27615312199552533</v>
      </c>
      <c r="CN13" s="9">
        <f t="shared" si="10"/>
        <v>0.25280619636328755</v>
      </c>
      <c r="CO13" s="9">
        <f t="shared" si="10"/>
        <v>0.2284001906413784</v>
      </c>
      <c r="CP13" s="9">
        <f t="shared" si="10"/>
        <v>0.2041522994775293</v>
      </c>
      <c r="CQ13" s="9">
        <f t="shared" si="10"/>
        <v>0.18007951503856684</v>
      </c>
      <c r="CR13" s="9">
        <f t="shared" si="10"/>
        <v>0.15651563278163533</v>
      </c>
      <c r="CS13" s="9">
        <f t="shared" si="10"/>
        <v>0.13185274655211768</v>
      </c>
      <c r="CT13" s="9">
        <f t="shared" si="10"/>
        <v>0.10753355505594027</v>
      </c>
      <c r="CU13" s="9">
        <f t="shared" si="10"/>
        <v>8.2843015153356458E-2</v>
      </c>
      <c r="CV13" s="9">
        <f t="shared" si="10"/>
        <v>5.8185245289638886E-2</v>
      </c>
      <c r="CW13" s="9">
        <f t="shared" si="10"/>
        <v>3.3780897748269027E-2</v>
      </c>
      <c r="CX13" s="9">
        <f t="shared" si="10"/>
        <v>9.5081235994257888E-3</v>
      </c>
      <c r="CY13" s="9">
        <f t="shared" si="10"/>
        <v>-1.46556606443127E-2</v>
      </c>
      <c r="CZ13" s="9">
        <f t="shared" si="10"/>
        <v>-3.8657890658751415E-2</v>
      </c>
      <c r="DA13" s="9">
        <f t="shared" si="10"/>
        <v>-6.2615800484740206E-2</v>
      </c>
      <c r="DB13" s="9">
        <f t="shared" si="10"/>
        <v>-8.6572785255823514E-2</v>
      </c>
      <c r="DC13" s="9">
        <f t="shared" si="10"/>
        <v>-0.11006173896334444</v>
      </c>
      <c r="DD13" s="9">
        <f t="shared" si="10"/>
        <v>-0.13347484658365336</v>
      </c>
      <c r="DE13" s="9">
        <f t="shared" si="10"/>
        <v>-0.15658068961325528</v>
      </c>
      <c r="DF13" s="9">
        <f t="shared" si="10"/>
        <v>-0.17931351132684911</v>
      </c>
      <c r="DG13" s="9">
        <f t="shared" si="10"/>
        <v>-0.20162490013098894</v>
      </c>
      <c r="DH13" s="9">
        <f t="shared" si="10"/>
        <v>-0.22383423511457337</v>
      </c>
      <c r="DI13" s="9">
        <f t="shared" si="10"/>
        <v>-0.24560640990412433</v>
      </c>
      <c r="DJ13" s="9">
        <f t="shared" si="10"/>
        <v>-0.2670922890464808</v>
      </c>
    </row>
    <row r="14" spans="1:114" x14ac:dyDescent="0.3">
      <c r="A14" t="s">
        <v>828</v>
      </c>
      <c r="B14" t="s">
        <v>686</v>
      </c>
      <c r="C14" t="s">
        <v>679</v>
      </c>
      <c r="D14">
        <v>3.8617343053600102E-3</v>
      </c>
      <c r="E14">
        <v>-9.9897052121999995E-4</v>
      </c>
      <c r="F14">
        <v>-1.24662361440657E-3</v>
      </c>
      <c r="G14">
        <v>7.3127196942963301E-3</v>
      </c>
      <c r="H14">
        <v>1.0116724001820799E-2</v>
      </c>
      <c r="I14">
        <v>5.90383897710039E-3</v>
      </c>
      <c r="J14">
        <v>5.8677723838080004E-3</v>
      </c>
      <c r="K14">
        <v>5.88436714376656E-3</v>
      </c>
      <c r="L14">
        <v>5.9478704990435097E-3</v>
      </c>
      <c r="M14">
        <v>5.8980962529127396E-3</v>
      </c>
      <c r="N14">
        <v>5.96929078858543E-3</v>
      </c>
      <c r="O14">
        <v>6.0369807943211999E-3</v>
      </c>
      <c r="P14">
        <v>6.1038232198325501E-3</v>
      </c>
      <c r="Q14">
        <v>6.1186058668820202E-3</v>
      </c>
      <c r="R14">
        <v>6.0517899419824496E-3</v>
      </c>
      <c r="S14">
        <v>6.0026836139184204E-3</v>
      </c>
      <c r="T14">
        <v>5.9781330250093098E-3</v>
      </c>
      <c r="U14">
        <v>6.0355378501073496E-3</v>
      </c>
      <c r="V14">
        <v>5.9662484253406103E-3</v>
      </c>
      <c r="W14">
        <v>5.9149084097953903E-3</v>
      </c>
      <c r="X14">
        <v>5.8268419088913599E-3</v>
      </c>
      <c r="Y14">
        <v>5.7181349650709101E-3</v>
      </c>
      <c r="Z14">
        <v>5.6436754889333304E-3</v>
      </c>
      <c r="AA14">
        <v>5.57328245020063E-3</v>
      </c>
      <c r="AB14">
        <v>5.48351570773839E-3</v>
      </c>
      <c r="AC14">
        <v>5.3590255593716704E-3</v>
      </c>
      <c r="AD14">
        <v>5.25914909269601E-3</v>
      </c>
      <c r="AE14">
        <v>5.1423376809179499E-3</v>
      </c>
      <c r="AF14">
        <v>5.0065103598945096E-3</v>
      </c>
      <c r="AG14">
        <v>4.8693691878660796E-3</v>
      </c>
      <c r="AH14">
        <v>4.7281661575800599E-3</v>
      </c>
      <c r="AI14">
        <v>4.5644618311271703E-3</v>
      </c>
      <c r="AJ14">
        <v>4.3820382484475199E-3</v>
      </c>
      <c r="AK14">
        <v>4.2258942570083903E-3</v>
      </c>
      <c r="AL14">
        <v>4.0170144845872698E-3</v>
      </c>
      <c r="AM14">
        <v>3.79524761900838E-3</v>
      </c>
      <c r="AO14" t="str">
        <f t="shared" si="0"/>
        <v>Baseline uncompeted_Best Commercial Floors</v>
      </c>
      <c r="AP14" s="111"/>
      <c r="AQ14" s="111"/>
      <c r="AR14" s="111"/>
      <c r="AS14" s="111"/>
      <c r="AT14" s="111"/>
      <c r="AU14" s="209"/>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row>
    <row r="15" spans="1:114" x14ac:dyDescent="0.3">
      <c r="A15" t="s">
        <v>828</v>
      </c>
      <c r="B15" t="s">
        <v>685</v>
      </c>
      <c r="C15" t="s">
        <v>679</v>
      </c>
      <c r="D15">
        <v>1.11237562533959E-4</v>
      </c>
      <c r="E15">
        <v>-2.8247817090645601E-5</v>
      </c>
      <c r="F15">
        <v>-3.3860717120452299E-5</v>
      </c>
      <c r="G15">
        <v>1.9388431348524101E-4</v>
      </c>
      <c r="H15">
        <v>2.6089194711028302E-4</v>
      </c>
      <c r="I15">
        <v>1.4895736482357501E-4</v>
      </c>
      <c r="J15">
        <v>1.44261739724251E-4</v>
      </c>
      <c r="K15">
        <v>1.4123561810388901E-4</v>
      </c>
      <c r="L15">
        <v>1.39961727498866E-4</v>
      </c>
      <c r="M15">
        <v>1.3684098776130799E-4</v>
      </c>
      <c r="N15">
        <v>1.3739248218931001E-4</v>
      </c>
      <c r="O15">
        <v>1.3919052082578799E-4</v>
      </c>
      <c r="P15">
        <v>1.4256873337783099E-4</v>
      </c>
      <c r="Q15">
        <v>1.4635194939836E-4</v>
      </c>
      <c r="R15">
        <v>1.4995174603752199E-4</v>
      </c>
      <c r="S15">
        <v>1.5584153412524101E-4</v>
      </c>
      <c r="T15">
        <v>1.6416693321604401E-4</v>
      </c>
      <c r="U15">
        <v>1.76928904634805E-4</v>
      </c>
      <c r="V15">
        <v>1.88159371130059E-4</v>
      </c>
      <c r="W15">
        <v>2.01822730729983E-4</v>
      </c>
      <c r="X15">
        <v>2.1620228746941199E-4</v>
      </c>
      <c r="Y15">
        <v>2.3160478738351199E-4</v>
      </c>
      <c r="Z15">
        <v>2.50017378406027E-4</v>
      </c>
      <c r="AA15">
        <v>2.7056743775127499E-4</v>
      </c>
      <c r="AB15">
        <v>2.9195159050902399E-4</v>
      </c>
      <c r="AC15">
        <v>3.1278893851194599E-4</v>
      </c>
      <c r="AD15">
        <v>3.3631652077392601E-4</v>
      </c>
      <c r="AE15">
        <v>3.60039208284204E-4</v>
      </c>
      <c r="AF15">
        <v>3.8317443282869499E-4</v>
      </c>
      <c r="AG15">
        <v>4.06799270103035E-4</v>
      </c>
      <c r="AH15">
        <v>4.3049519312418302E-4</v>
      </c>
      <c r="AI15">
        <v>4.5198545979915601E-4</v>
      </c>
      <c r="AJ15">
        <v>4.7120786367223802E-4</v>
      </c>
      <c r="AK15">
        <v>4.9249085464410001E-4</v>
      </c>
      <c r="AL15">
        <v>5.0646252379750196E-4</v>
      </c>
      <c r="AM15">
        <v>5.1667327958608003E-4</v>
      </c>
      <c r="AO15" t="str">
        <f t="shared" si="0"/>
        <v>Efficient uncompeted_Best Commercial Floors</v>
      </c>
      <c r="AP15" s="111">
        <f t="shared" ref="AP15:BY15" si="11">(D14-D15)*293071083333.33</f>
        <v>1099162143.4581566</v>
      </c>
      <c r="AQ15" s="111">
        <f t="shared" si="11"/>
        <v>-284490754.51544946</v>
      </c>
      <c r="AR15" s="111">
        <f t="shared" si="11"/>
        <v>-355425736.13411051</v>
      </c>
      <c r="AS15" s="111">
        <f t="shared" si="11"/>
        <v>2086324797.1259449</v>
      </c>
      <c r="AT15" s="111">
        <f t="shared" si="11"/>
        <v>2888459377.4253707</v>
      </c>
      <c r="AU15" s="209">
        <f t="shared" si="11"/>
        <v>1686589388.565027</v>
      </c>
      <c r="AV15" s="111">
        <f t="shared" si="11"/>
        <v>1677395464.9314699</v>
      </c>
      <c r="AW15" s="111">
        <f t="shared" si="11"/>
        <v>1683145777.9517593</v>
      </c>
      <c r="AX15" s="111">
        <f t="shared" si="11"/>
        <v>1702130115.5777388</v>
      </c>
      <c r="AY15" s="111">
        <f t="shared" si="11"/>
        <v>1688457321.9177816</v>
      </c>
      <c r="AZ15" s="111">
        <f t="shared" si="11"/>
        <v>1709160754.5453234</v>
      </c>
      <c r="BA15" s="111">
        <f t="shared" si="11"/>
        <v>1728471784.7260771</v>
      </c>
      <c r="BB15" s="111">
        <f t="shared" si="11"/>
        <v>1747071310.3709586</v>
      </c>
      <c r="BC15" s="111">
        <f t="shared" si="11"/>
        <v>1750294925.5386605</v>
      </c>
      <c r="BD15" s="111">
        <f t="shared" si="11"/>
        <v>1729658113.7436059</v>
      </c>
      <c r="BE15" s="111">
        <f t="shared" si="11"/>
        <v>1713540342.4038875</v>
      </c>
      <c r="BF15" s="111">
        <f t="shared" si="11"/>
        <v>1703905340.9850993</v>
      </c>
      <c r="BG15" s="111">
        <f t="shared" si="11"/>
        <v>1716988870.4759767</v>
      </c>
      <c r="BH15" s="111">
        <f t="shared" si="11"/>
        <v>1693390818.7139425</v>
      </c>
      <c r="BI15" s="111">
        <f t="shared" si="11"/>
        <v>1674340209.1398323</v>
      </c>
      <c r="BJ15" s="111">
        <f t="shared" si="11"/>
        <v>1644316232.0430348</v>
      </c>
      <c r="BK15" s="111">
        <f t="shared" si="11"/>
        <v>1607943342.9158533</v>
      </c>
      <c r="BL15" s="111">
        <f t="shared" si="11"/>
        <v>1580725225.5818386</v>
      </c>
      <c r="BM15" s="111">
        <f t="shared" si="11"/>
        <v>1554072433.3064451</v>
      </c>
      <c r="BN15" s="111">
        <f t="shared" si="11"/>
        <v>1521497320.0308535</v>
      </c>
      <c r="BO15" s="111">
        <f t="shared" si="11"/>
        <v>1478906033.2316821</v>
      </c>
      <c r="BP15" s="111">
        <f t="shared" si="11"/>
        <v>1442739874.9218082</v>
      </c>
      <c r="BQ15" s="111">
        <f t="shared" si="11"/>
        <v>1401553394.1981015</v>
      </c>
      <c r="BR15" s="111">
        <f t="shared" si="11"/>
        <v>1354966068.759084</v>
      </c>
      <c r="BS15" s="111">
        <f t="shared" si="11"/>
        <v>1307850200.2495451</v>
      </c>
      <c r="BT15" s="111">
        <f t="shared" si="11"/>
        <v>1259523085.3632813</v>
      </c>
      <c r="BU15" s="111">
        <f t="shared" si="11"/>
        <v>1205247905.3278229</v>
      </c>
      <c r="BV15" s="111">
        <f t="shared" si="11"/>
        <v>1146151297.5989957</v>
      </c>
      <c r="BW15" s="111">
        <f t="shared" si="11"/>
        <v>1094152579.6512427</v>
      </c>
      <c r="BX15" s="111">
        <f t="shared" si="11"/>
        <v>1028841266.2466031</v>
      </c>
      <c r="BY15" s="111">
        <f t="shared" si="11"/>
        <v>960855333.44335032</v>
      </c>
      <c r="CA15" s="9">
        <f t="shared" ref="CA15:DJ15" si="12">(D14-D15)/D14</f>
        <v>0.9711949207951559</v>
      </c>
      <c r="CB15" s="9">
        <f t="shared" si="12"/>
        <v>0.97172307241243938</v>
      </c>
      <c r="CC15" s="9">
        <f t="shared" si="12"/>
        <v>0.9728380589544896</v>
      </c>
      <c r="CD15" s="9">
        <f t="shared" si="12"/>
        <v>0.97348670240478874</v>
      </c>
      <c r="CE15" s="9">
        <f t="shared" si="12"/>
        <v>0.97421181530075063</v>
      </c>
      <c r="CF15" s="9">
        <f t="shared" si="12"/>
        <v>0.97476940590667438</v>
      </c>
      <c r="CG15" s="9">
        <f t="shared" si="12"/>
        <v>0.97541456445680497</v>
      </c>
      <c r="CH15" s="9">
        <f t="shared" si="12"/>
        <v>0.97599816349775126</v>
      </c>
      <c r="CI15" s="9">
        <f t="shared" si="12"/>
        <v>0.97646859871589786</v>
      </c>
      <c r="CJ15" s="9">
        <f t="shared" si="12"/>
        <v>0.97679912604109675</v>
      </c>
      <c r="CK15" s="9">
        <f t="shared" si="12"/>
        <v>0.97698344961648809</v>
      </c>
      <c r="CL15" s="9">
        <f t="shared" si="12"/>
        <v>0.97694368665927844</v>
      </c>
      <c r="CM15" s="9">
        <f t="shared" si="12"/>
        <v>0.97664271584494844</v>
      </c>
      <c r="CN15" s="9">
        <f t="shared" si="12"/>
        <v>0.97608083400329571</v>
      </c>
      <c r="CO15" s="9">
        <f t="shared" si="12"/>
        <v>0.97522191822996407</v>
      </c>
      <c r="CP15" s="9">
        <f t="shared" si="12"/>
        <v>0.97403802296627939</v>
      </c>
      <c r="CQ15" s="9">
        <f t="shared" si="12"/>
        <v>0.97253876209691936</v>
      </c>
      <c r="CR15" s="9">
        <f t="shared" si="12"/>
        <v>0.9706854784065917</v>
      </c>
      <c r="CS15" s="9">
        <f t="shared" si="12"/>
        <v>0.96846269921800698</v>
      </c>
      <c r="CT15" s="9">
        <f t="shared" si="12"/>
        <v>0.96587897618232688</v>
      </c>
      <c r="CU15" s="9">
        <f t="shared" si="12"/>
        <v>0.962895460208127</v>
      </c>
      <c r="CV15" s="9">
        <f t="shared" si="12"/>
        <v>0.95949644616675456</v>
      </c>
      <c r="CW15" s="9">
        <f t="shared" si="12"/>
        <v>0.95569954741439589</v>
      </c>
      <c r="CX15" s="9">
        <f t="shared" si="12"/>
        <v>0.9514527677057647</v>
      </c>
      <c r="CY15" s="9">
        <f t="shared" si="12"/>
        <v>0.94675831964937762</v>
      </c>
      <c r="CZ15" s="9">
        <f t="shared" si="12"/>
        <v>0.94163324375922186</v>
      </c>
      <c r="DA15" s="9">
        <f t="shared" si="12"/>
        <v>0.93605115298195141</v>
      </c>
      <c r="DB15" s="9">
        <f t="shared" si="12"/>
        <v>0.92998530422841974</v>
      </c>
      <c r="DC15" s="9">
        <f t="shared" si="12"/>
        <v>0.92346476781548725</v>
      </c>
      <c r="DD15" s="9">
        <f t="shared" si="12"/>
        <v>0.91645750108315205</v>
      </c>
      <c r="DE15" s="9">
        <f t="shared" si="12"/>
        <v>0.90895091695666719</v>
      </c>
      <c r="DF15" s="9">
        <f t="shared" si="12"/>
        <v>0.90097727256324955</v>
      </c>
      <c r="DG15" s="9">
        <f t="shared" si="12"/>
        <v>0.89246833620423571</v>
      </c>
      <c r="DH15" s="9">
        <f t="shared" si="12"/>
        <v>0.88345878417867796</v>
      </c>
      <c r="DI15" s="9">
        <f t="shared" si="12"/>
        <v>0.87392066278557656</v>
      </c>
      <c r="DJ15" s="9">
        <f t="shared" si="12"/>
        <v>0.86386309104092762</v>
      </c>
    </row>
    <row r="16" spans="1:114" x14ac:dyDescent="0.3">
      <c r="A16" t="s">
        <v>825</v>
      </c>
      <c r="B16" t="s">
        <v>686</v>
      </c>
      <c r="C16" t="s">
        <v>22</v>
      </c>
      <c r="D16">
        <v>8.0980318699999998E-2</v>
      </c>
      <c r="E16">
        <v>8.3237936700000001E-2</v>
      </c>
      <c r="F16">
        <v>8.4253856200000005E-2</v>
      </c>
      <c r="G16">
        <v>8.5536660400000006E-2</v>
      </c>
      <c r="H16">
        <v>8.6691936799999994E-2</v>
      </c>
      <c r="I16">
        <v>8.7587429199999997E-2</v>
      </c>
      <c r="J16">
        <v>8.8199803699999996E-2</v>
      </c>
      <c r="K16">
        <v>8.8678480599999998E-2</v>
      </c>
      <c r="L16">
        <v>8.8986591700000006E-2</v>
      </c>
      <c r="M16">
        <v>8.9165185800000005E-2</v>
      </c>
      <c r="N16">
        <v>8.9391331500000004E-2</v>
      </c>
      <c r="O16">
        <v>8.9866618300000006E-2</v>
      </c>
      <c r="P16">
        <v>9.0580057500000005E-2</v>
      </c>
      <c r="Q16">
        <v>9.1382553199999994E-2</v>
      </c>
      <c r="R16">
        <v>9.2214059900000006E-2</v>
      </c>
      <c r="S16">
        <v>9.30809056E-2</v>
      </c>
      <c r="T16">
        <v>9.4019950000000005E-2</v>
      </c>
      <c r="U16">
        <v>9.4884932199999994E-2</v>
      </c>
      <c r="V16">
        <v>9.5698310300000006E-2</v>
      </c>
      <c r="W16">
        <v>9.6531422500000005E-2</v>
      </c>
      <c r="X16">
        <v>9.7383878399999999E-2</v>
      </c>
      <c r="Y16">
        <v>9.8214617000000004E-2</v>
      </c>
      <c r="Z16">
        <v>9.9028426000000003E-2</v>
      </c>
      <c r="AA16">
        <v>9.9895188600000004E-2</v>
      </c>
      <c r="AB16">
        <v>0.10078711579999999</v>
      </c>
      <c r="AC16">
        <v>0.1016627127</v>
      </c>
      <c r="AD16">
        <v>0.102560573</v>
      </c>
      <c r="AE16">
        <v>0.10344365780000001</v>
      </c>
      <c r="AF16">
        <v>0.1042827554</v>
      </c>
      <c r="AG16">
        <v>0.1051025679</v>
      </c>
      <c r="AH16">
        <v>0.10591014429999999</v>
      </c>
      <c r="AI16">
        <v>0.10672656129999999</v>
      </c>
      <c r="AJ16">
        <v>0.1075477735</v>
      </c>
      <c r="AK16">
        <v>0.1083308318</v>
      </c>
      <c r="AL16">
        <v>0.1090499439</v>
      </c>
      <c r="AM16">
        <v>0.1097810018</v>
      </c>
      <c r="AO16" t="str">
        <f t="shared" si="0"/>
        <v>Baseline uncompeted_Best Commercial Gas Storage WH</v>
      </c>
      <c r="AP16" s="111"/>
      <c r="AQ16" s="111"/>
      <c r="AR16" s="111"/>
      <c r="AS16" s="111"/>
      <c r="AT16" s="111"/>
      <c r="AU16" s="209"/>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row>
    <row r="17" spans="1:114" x14ac:dyDescent="0.3">
      <c r="A17" t="s">
        <v>825</v>
      </c>
      <c r="B17" t="s">
        <v>685</v>
      </c>
      <c r="C17" t="s">
        <v>22</v>
      </c>
      <c r="D17">
        <v>8.0980318699999998E-2</v>
      </c>
      <c r="E17">
        <v>8.3237936700000001E-2</v>
      </c>
      <c r="F17">
        <v>7.3677756200085806E-2</v>
      </c>
      <c r="G17">
        <v>7.4871625703448894E-2</v>
      </c>
      <c r="H17">
        <v>7.6012977449187794E-2</v>
      </c>
      <c r="I17">
        <v>7.6972430256076002E-2</v>
      </c>
      <c r="J17">
        <v>7.77178499220786E-2</v>
      </c>
      <c r="K17">
        <v>7.8370606792330003E-2</v>
      </c>
      <c r="L17">
        <v>7.8890009715452097E-2</v>
      </c>
      <c r="M17">
        <v>7.9305415342773397E-2</v>
      </c>
      <c r="N17">
        <v>7.9768865617281401E-2</v>
      </c>
      <c r="O17">
        <v>8.0457513010236806E-2</v>
      </c>
      <c r="P17">
        <v>8.1360632688540699E-2</v>
      </c>
      <c r="Q17">
        <v>8.2343380810897399E-2</v>
      </c>
      <c r="R17">
        <v>8.3350239610204893E-2</v>
      </c>
      <c r="S17">
        <v>8.4385522962867707E-2</v>
      </c>
      <c r="T17">
        <v>8.5481512517476502E-2</v>
      </c>
      <c r="U17">
        <v>8.6504318775529401E-2</v>
      </c>
      <c r="V17">
        <v>8.7473080218023094E-2</v>
      </c>
      <c r="W17">
        <v>8.8452126471947903E-2</v>
      </c>
      <c r="X17">
        <v>8.94407870552405E-2</v>
      </c>
      <c r="Y17">
        <v>9.04010906722197E-2</v>
      </c>
      <c r="Z17">
        <v>9.1337266552993096E-2</v>
      </c>
      <c r="AA17">
        <v>9.2313719406914296E-2</v>
      </c>
      <c r="AB17">
        <v>9.3305047437261798E-2</v>
      </c>
      <c r="AC17">
        <v>9.4273100929082101E-2</v>
      </c>
      <c r="AD17">
        <v>9.5253813122606099E-2</v>
      </c>
      <c r="AE17">
        <v>9.6213054019941902E-2</v>
      </c>
      <c r="AF17">
        <v>9.7123825401318795E-2</v>
      </c>
      <c r="AG17">
        <v>9.8009256944131901E-2</v>
      </c>
      <c r="AH17">
        <v>9.8876181639681301E-2</v>
      </c>
      <c r="AI17">
        <v>9.9744608834806597E-2</v>
      </c>
      <c r="AJ17">
        <v>0.100611062733879</v>
      </c>
      <c r="AK17">
        <v>0.10143576663924</v>
      </c>
      <c r="AL17">
        <v>0.102194678752257</v>
      </c>
      <c r="AM17">
        <v>0.102959243979554</v>
      </c>
      <c r="AO17" t="str">
        <f t="shared" si="0"/>
        <v>Efficient uncompeted_Best Commercial Gas Storage WH</v>
      </c>
      <c r="AP17" s="111">
        <f t="shared" ref="AP17:BY17" si="13">(D16-D17)*293071083333.33</f>
        <v>0</v>
      </c>
      <c r="AQ17" s="111">
        <f t="shared" si="13"/>
        <v>0</v>
      </c>
      <c r="AR17" s="111">
        <f t="shared" si="13"/>
        <v>3099549084.4164858</v>
      </c>
      <c r="AS17" s="111">
        <f t="shared" si="13"/>
        <v>3125613272.3057871</v>
      </c>
      <c r="AT17" s="111">
        <f t="shared" si="13"/>
        <v>3129694185.8151264</v>
      </c>
      <c r="AU17" s="209">
        <f t="shared" si="13"/>
        <v>3110949240.0779591</v>
      </c>
      <c r="AV17" s="111">
        <f t="shared" si="13"/>
        <v>3071957549.1453147</v>
      </c>
      <c r="AW17" s="111">
        <f t="shared" si="13"/>
        <v>3020939743.677103</v>
      </c>
      <c r="AX17" s="111">
        <f t="shared" si="13"/>
        <v>2959016220.1752386</v>
      </c>
      <c r="AY17" s="111">
        <f t="shared" si="13"/>
        <v>2889613609.3173647</v>
      </c>
      <c r="AZ17" s="111">
        <f t="shared" si="13"/>
        <v>2820066500.5863485</v>
      </c>
      <c r="BA17" s="111">
        <f t="shared" si="13"/>
        <v>2757536680.4682674</v>
      </c>
      <c r="BB17" s="111">
        <f t="shared" si="13"/>
        <v>2701946817.2045608</v>
      </c>
      <c r="BC17" s="111">
        <f t="shared" si="13"/>
        <v>2649120044.5110226</v>
      </c>
      <c r="BD17" s="111">
        <f t="shared" si="13"/>
        <v>2597729414.8022051</v>
      </c>
      <c r="BE17" s="111">
        <f t="shared" si="13"/>
        <v>2548365209.4621892</v>
      </c>
      <c r="BF17" s="111">
        <f t="shared" si="13"/>
        <v>2502369122.9770741</v>
      </c>
      <c r="BG17" s="111">
        <f t="shared" si="13"/>
        <v>2456115455.3074455</v>
      </c>
      <c r="BH17" s="111">
        <f t="shared" si="13"/>
        <v>2410577090.7908683</v>
      </c>
      <c r="BI17" s="111">
        <f t="shared" si="13"/>
        <v>2367808039.5118999</v>
      </c>
      <c r="BJ17" s="111">
        <f t="shared" si="13"/>
        <v>2327890385.4242635</v>
      </c>
      <c r="BK17" s="111">
        <f t="shared" si="13"/>
        <v>2289918625.5360694</v>
      </c>
      <c r="BL17" s="111">
        <f t="shared" si="13"/>
        <v>2254056431.2236896</v>
      </c>
      <c r="BM17" s="111">
        <f t="shared" si="13"/>
        <v>2221909389.6758957</v>
      </c>
      <c r="BN17" s="111">
        <f t="shared" si="13"/>
        <v>2192777880.6417174</v>
      </c>
      <c r="BO17" s="111">
        <f t="shared" si="13"/>
        <v>2165681527.1156373</v>
      </c>
      <c r="BP17" s="111">
        <f t="shared" si="13"/>
        <v>2141400032.924341</v>
      </c>
      <c r="BQ17" s="111">
        <f t="shared" si="13"/>
        <v>2119080882.9756994</v>
      </c>
      <c r="BR17" s="111">
        <f t="shared" si="13"/>
        <v>2098075370.2209747</v>
      </c>
      <c r="BS17" s="111">
        <f t="shared" si="13"/>
        <v>2078844326.2564423</v>
      </c>
      <c r="BT17" s="111">
        <f t="shared" si="13"/>
        <v>2061451056.9857914</v>
      </c>
      <c r="BU17" s="111">
        <f t="shared" si="13"/>
        <v>2046208372.7560432</v>
      </c>
      <c r="BV17" s="111">
        <f t="shared" si="13"/>
        <v>2032949338.9970548</v>
      </c>
      <c r="BW17" s="111">
        <f t="shared" si="13"/>
        <v>2020744216.3178329</v>
      </c>
      <c r="BX17" s="111">
        <f t="shared" si="13"/>
        <v>2009079983.386261</v>
      </c>
      <c r="BY17" s="111">
        <f t="shared" si="13"/>
        <v>1999259954.6757255</v>
      </c>
      <c r="CA17" s="9">
        <f t="shared" ref="CA17:DJ17" si="14">(D16-D17)/D16</f>
        <v>0</v>
      </c>
      <c r="CB17" s="9">
        <f t="shared" si="14"/>
        <v>0</v>
      </c>
      <c r="CC17" s="9">
        <f t="shared" si="14"/>
        <v>0.12552659874473732</v>
      </c>
      <c r="CD17" s="9">
        <f t="shared" si="14"/>
        <v>0.12468378642184061</v>
      </c>
      <c r="CE17" s="9">
        <f t="shared" si="14"/>
        <v>0.12318284427591888</v>
      </c>
      <c r="CF17" s="9">
        <f t="shared" si="14"/>
        <v>0.1211931785289115</v>
      </c>
      <c r="CG17" s="9">
        <f t="shared" si="14"/>
        <v>0.11884327785551972</v>
      </c>
      <c r="CH17" s="9">
        <f t="shared" si="14"/>
        <v>0.1162387282453055</v>
      </c>
      <c r="CI17" s="9">
        <f t="shared" si="14"/>
        <v>0.11346183499854066</v>
      </c>
      <c r="CJ17" s="9">
        <f t="shared" si="14"/>
        <v>0.11057870141539712</v>
      </c>
      <c r="CK17" s="9">
        <f t="shared" si="14"/>
        <v>0.10764428408495742</v>
      </c>
      <c r="CL17" s="9">
        <f t="shared" si="14"/>
        <v>0.10470078286859494</v>
      </c>
      <c r="CM17" s="9">
        <f t="shared" si="14"/>
        <v>0.10178205960466856</v>
      </c>
      <c r="CN17" s="9">
        <f t="shared" si="14"/>
        <v>9.891573470615829E-2</v>
      </c>
      <c r="CO17" s="9">
        <f t="shared" si="14"/>
        <v>9.6122221485610046E-2</v>
      </c>
      <c r="CP17" s="9">
        <f t="shared" si="14"/>
        <v>9.3417469255179797E-2</v>
      </c>
      <c r="CQ17" s="9">
        <f t="shared" si="14"/>
        <v>9.0815167233374433E-2</v>
      </c>
      <c r="CR17" s="9">
        <f t="shared" si="14"/>
        <v>8.8323964934767518E-2</v>
      </c>
      <c r="CS17" s="9">
        <f t="shared" si="14"/>
        <v>8.5949585276814552E-2</v>
      </c>
      <c r="CT17" s="9">
        <f t="shared" si="14"/>
        <v>8.3696021656078895E-2</v>
      </c>
      <c r="CU17" s="9">
        <f t="shared" si="14"/>
        <v>8.1564746396047189E-2</v>
      </c>
      <c r="CV17" s="9">
        <f t="shared" si="14"/>
        <v>7.9555636079915726E-2</v>
      </c>
      <c r="CW17" s="9">
        <f t="shared" si="14"/>
        <v>7.7666178870770972E-2</v>
      </c>
      <c r="CX17" s="9">
        <f t="shared" si="14"/>
        <v>7.5894237743955845E-2</v>
      </c>
      <c r="CY17" s="9">
        <f t="shared" si="14"/>
        <v>7.4236357527935087E-2</v>
      </c>
      <c r="CZ17" s="9">
        <f t="shared" si="14"/>
        <v>7.2687532868851948E-2</v>
      </c>
      <c r="DA17" s="9">
        <f t="shared" si="14"/>
        <v>7.1243360520166985E-2</v>
      </c>
      <c r="DB17" s="9">
        <f t="shared" si="14"/>
        <v>6.9898956918537189E-2</v>
      </c>
      <c r="DC17" s="9">
        <f t="shared" si="14"/>
        <v>6.8649221735861438E-2</v>
      </c>
      <c r="DD17" s="9">
        <f t="shared" si="14"/>
        <v>6.7489416268278438E-2</v>
      </c>
      <c r="DE17" s="9">
        <f t="shared" si="14"/>
        <v>6.641443751029516E-2</v>
      </c>
      <c r="DF17" s="9">
        <f t="shared" si="14"/>
        <v>6.5419070755663875E-2</v>
      </c>
      <c r="DG17" s="9">
        <f t="shared" si="14"/>
        <v>6.4498878408868213E-2</v>
      </c>
      <c r="DH17" s="9">
        <f t="shared" si="14"/>
        <v>6.3648225036152584E-2</v>
      </c>
      <c r="DI17" s="9">
        <f t="shared" si="14"/>
        <v>6.2863536674804266E-2</v>
      </c>
      <c r="DJ17" s="9">
        <f t="shared" si="14"/>
        <v>6.2139693650035542E-2</v>
      </c>
    </row>
    <row r="18" spans="1:114" x14ac:dyDescent="0.3">
      <c r="A18" t="s">
        <v>824</v>
      </c>
      <c r="B18" t="s">
        <v>686</v>
      </c>
      <c r="C18" t="s">
        <v>20</v>
      </c>
      <c r="D18">
        <v>0.26053697740005999</v>
      </c>
      <c r="E18">
        <v>0.28147403961835998</v>
      </c>
      <c r="F18">
        <v>0.27594123159596501</v>
      </c>
      <c r="G18">
        <v>0.22859959751287701</v>
      </c>
      <c r="H18">
        <v>0.209984049020742</v>
      </c>
      <c r="I18">
        <v>0.22718520907906301</v>
      </c>
      <c r="J18">
        <v>0.22141780414854001</v>
      </c>
      <c r="K18">
        <v>0.216410344555371</v>
      </c>
      <c r="L18">
        <v>0.212135671683087</v>
      </c>
      <c r="M18">
        <v>0.20969374965667101</v>
      </c>
      <c r="N18">
        <v>0.20614053979406599</v>
      </c>
      <c r="O18">
        <v>0.20332135954237601</v>
      </c>
      <c r="P18">
        <v>0.201441184306204</v>
      </c>
      <c r="Q18">
        <v>0.20054663975367401</v>
      </c>
      <c r="R18">
        <v>0.20104750172273</v>
      </c>
      <c r="S18">
        <v>0.19648006676098201</v>
      </c>
      <c r="T18">
        <v>0.19233395966469999</v>
      </c>
      <c r="U18">
        <v>0.187697875058076</v>
      </c>
      <c r="V18">
        <v>0.184901001484366</v>
      </c>
      <c r="W18">
        <v>0.18235659215858599</v>
      </c>
      <c r="X18">
        <v>0.18078818645005401</v>
      </c>
      <c r="Y18">
        <v>0.17979031795171099</v>
      </c>
      <c r="Z18">
        <v>0.17859960984513101</v>
      </c>
      <c r="AA18">
        <v>0.177739390352744</v>
      </c>
      <c r="AB18">
        <v>0.177476556728034</v>
      </c>
      <c r="AC18">
        <v>0.17355009184290199</v>
      </c>
      <c r="AD18">
        <v>0.17006540315671201</v>
      </c>
      <c r="AE18">
        <v>0.167458073132811</v>
      </c>
      <c r="AF18">
        <v>0.165495900312079</v>
      </c>
      <c r="AG18">
        <v>0.163890278416982</v>
      </c>
      <c r="AH18">
        <v>0.16241316950065901</v>
      </c>
      <c r="AI18">
        <v>0.161321372851494</v>
      </c>
      <c r="AJ18">
        <v>0.16080896074780501</v>
      </c>
      <c r="AK18">
        <v>0.160291909172603</v>
      </c>
      <c r="AL18">
        <v>0.16046091213198699</v>
      </c>
      <c r="AM18">
        <v>0.160973721238892</v>
      </c>
      <c r="AO18" t="str">
        <f t="shared" si="0"/>
        <v>Baseline uncompeted_Best Commercial LED Lighting</v>
      </c>
      <c r="AP18" s="111"/>
      <c r="AQ18" s="111"/>
      <c r="AR18" s="111"/>
      <c r="AS18" s="111"/>
      <c r="AT18" s="111"/>
      <c r="AU18" s="209"/>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row>
    <row r="19" spans="1:114" x14ac:dyDescent="0.3">
      <c r="A19" t="s">
        <v>824</v>
      </c>
      <c r="B19" t="s">
        <v>685</v>
      </c>
      <c r="C19" t="s">
        <v>20</v>
      </c>
      <c r="D19">
        <v>0.175532276911397</v>
      </c>
      <c r="E19">
        <v>0.19925196656969801</v>
      </c>
      <c r="F19">
        <v>0.19642366780609699</v>
      </c>
      <c r="G19">
        <v>0.151200630535853</v>
      </c>
      <c r="H19">
        <v>0.13417793025212499</v>
      </c>
      <c r="I19">
        <v>0.155590455004675</v>
      </c>
      <c r="J19">
        <v>0.154376196028333</v>
      </c>
      <c r="K19">
        <v>0.153749997802756</v>
      </c>
      <c r="L19">
        <v>0.15360370469383799</v>
      </c>
      <c r="M19">
        <v>0.154874952609001</v>
      </c>
      <c r="N19">
        <v>0.15505102202403001</v>
      </c>
      <c r="O19">
        <v>0.155607684316109</v>
      </c>
      <c r="P19">
        <v>0.15669920257122799</v>
      </c>
      <c r="Q19">
        <v>0.15844040949275601</v>
      </c>
      <c r="R19">
        <v>0.16120618042597801</v>
      </c>
      <c r="S19">
        <v>0.162003118183568</v>
      </c>
      <c r="T19">
        <v>0.163285396778202</v>
      </c>
      <c r="U19">
        <v>0.164107399810968</v>
      </c>
      <c r="V19">
        <v>0.16655281967702901</v>
      </c>
      <c r="W19">
        <v>0.16908209161666299</v>
      </c>
      <c r="X19">
        <v>0.172353880477463</v>
      </c>
      <c r="Y19">
        <v>0.175959089315228</v>
      </c>
      <c r="Z19">
        <v>0.17912757850352901</v>
      </c>
      <c r="AA19">
        <v>0.18235975461576301</v>
      </c>
      <c r="AB19">
        <v>0.18593392545802001</v>
      </c>
      <c r="AC19">
        <v>0.188483478837877</v>
      </c>
      <c r="AD19">
        <v>0.19099028869923801</v>
      </c>
      <c r="AE19">
        <v>0.19394327864357</v>
      </c>
      <c r="AF19">
        <v>0.19712109451072601</v>
      </c>
      <c r="AG19">
        <v>0.200225591712613</v>
      </c>
      <c r="AH19">
        <v>0.20300653134966401</v>
      </c>
      <c r="AI19">
        <v>0.20577162800374299</v>
      </c>
      <c r="AJ19">
        <v>0.208810092936077</v>
      </c>
      <c r="AK19">
        <v>0.21147804231219</v>
      </c>
      <c r="AL19">
        <v>0.21458381018825001</v>
      </c>
      <c r="AM19">
        <v>0.217774768116132</v>
      </c>
      <c r="AO19" t="str">
        <f t="shared" si="0"/>
        <v>Efficient uncompeted_Best Commercial LED Lighting</v>
      </c>
      <c r="AP19" s="111">
        <f t="shared" ref="AP19:BY19" si="15">(D18-D19)*293071083333.33</f>
        <v>24912419660.637711</v>
      </c>
      <c r="AQ19" s="111">
        <f t="shared" si="15"/>
        <v>24096912022.283562</v>
      </c>
      <c r="AR19" s="111">
        <f t="shared" si="15"/>
        <v>23304298563.923794</v>
      </c>
      <c r="AS19" s="111">
        <f t="shared" si="15"/>
        <v>22683399100.837059</v>
      </c>
      <c r="AT19" s="111">
        <f t="shared" si="15"/>
        <v>22216581350.813667</v>
      </c>
      <c r="AU19" s="209">
        <f t="shared" si="15"/>
        <v>20982352137.564236</v>
      </c>
      <c r="AV19" s="111">
        <f t="shared" si="15"/>
        <v>19647956720.197643</v>
      </c>
      <c r="AW19" s="111">
        <f t="shared" si="15"/>
        <v>18363935704.830986</v>
      </c>
      <c r="AX19" s="111">
        <f t="shared" si="15"/>
        <v>17154026975.169918</v>
      </c>
      <c r="AY19" s="111">
        <f t="shared" si="15"/>
        <v>16065804237.790604</v>
      </c>
      <c r="AZ19" s="111">
        <f t="shared" si="15"/>
        <v>14972860319.84186</v>
      </c>
      <c r="BA19" s="111">
        <f t="shared" si="15"/>
        <v>13983498488.376745</v>
      </c>
      <c r="BB19" s="111">
        <f t="shared" si="15"/>
        <v>13112581057.549484</v>
      </c>
      <c r="BC19" s="111">
        <f t="shared" si="15"/>
        <v>12340118517.649883</v>
      </c>
      <c r="BD19" s="111">
        <f t="shared" si="15"/>
        <v>11676339193.87038</v>
      </c>
      <c r="BE19" s="111">
        <f t="shared" si="15"/>
        <v>10104196669.610235</v>
      </c>
      <c r="BF19" s="111">
        <f t="shared" si="15"/>
        <v>8513293794.4223289</v>
      </c>
      <c r="BG19" s="111">
        <f t="shared" si="15"/>
        <v>6913686137.0180473</v>
      </c>
      <c r="BH19" s="111">
        <f t="shared" si="15"/>
        <v>5377321519.4731503</v>
      </c>
      <c r="BI19" s="111">
        <f t="shared" si="15"/>
        <v>3890372254.5302505</v>
      </c>
      <c r="BJ19" s="111">
        <f t="shared" si="15"/>
        <v>2471851188.5520234</v>
      </c>
      <c r="BK19" s="111">
        <f t="shared" si="15"/>
        <v>1122822326.9917488</v>
      </c>
      <c r="BL19" s="111">
        <f t="shared" si="15"/>
        <v>-154732346.68274453</v>
      </c>
      <c r="BM19" s="111">
        <f t="shared" si="15"/>
        <v>-1354095159.9575846</v>
      </c>
      <c r="BN19" s="111">
        <f t="shared" si="15"/>
        <v>-2478610215.8464289</v>
      </c>
      <c r="BO19" s="111">
        <f t="shared" si="15"/>
        <v>-4376543904.4531889</v>
      </c>
      <c r="BP19" s="111">
        <f t="shared" si="15"/>
        <v>-6132478874.5740299</v>
      </c>
      <c r="BQ19" s="111">
        <f t="shared" si="15"/>
        <v>-7762047871.3440228</v>
      </c>
      <c r="BR19" s="111">
        <f t="shared" si="15"/>
        <v>-9268429924.4244232</v>
      </c>
      <c r="BS19" s="111">
        <f t="shared" si="15"/>
        <v>-10648829630.806526</v>
      </c>
      <c r="BT19" s="111">
        <f t="shared" si="15"/>
        <v>-11896740533.229763</v>
      </c>
      <c r="BU19" s="111">
        <f t="shared" si="15"/>
        <v>-13027084431.912544</v>
      </c>
      <c r="BV19" s="111">
        <f t="shared" si="15"/>
        <v>-14067743811.643248</v>
      </c>
      <c r="BW19" s="111">
        <f t="shared" si="15"/>
        <v>-15001175490.862827</v>
      </c>
      <c r="BX19" s="111">
        <f t="shared" si="15"/>
        <v>-15861856366.488386</v>
      </c>
      <c r="BY19" s="111">
        <f t="shared" si="15"/>
        <v>-16646744342.779987</v>
      </c>
      <c r="CA19" s="9">
        <f t="shared" ref="CA19:DJ19" si="16">(D18-D19)/D18</f>
        <v>0.32626731658952385</v>
      </c>
      <c r="CB19" s="9">
        <f t="shared" si="16"/>
        <v>0.29211245612612718</v>
      </c>
      <c r="CC19" s="9">
        <f t="shared" si="16"/>
        <v>0.2881684746058471</v>
      </c>
      <c r="CD19" s="9">
        <f t="shared" si="16"/>
        <v>0.33857875437713369</v>
      </c>
      <c r="CE19" s="9">
        <f t="shared" si="16"/>
        <v>0.36100893911769921</v>
      </c>
      <c r="CF19" s="9">
        <f t="shared" si="16"/>
        <v>0.31513827138927969</v>
      </c>
      <c r="CG19" s="9">
        <f t="shared" si="16"/>
        <v>0.30278327606948707</v>
      </c>
      <c r="CH19" s="9">
        <f t="shared" si="16"/>
        <v>0.28954413838836918</v>
      </c>
      <c r="CI19" s="9">
        <f t="shared" si="16"/>
        <v>0.27591760746721977</v>
      </c>
      <c r="CJ19" s="9">
        <f t="shared" si="16"/>
        <v>0.26142313319984095</v>
      </c>
      <c r="CK19" s="9">
        <f t="shared" si="16"/>
        <v>0.24783828460464066</v>
      </c>
      <c r="CL19" s="9">
        <f t="shared" si="16"/>
        <v>0.23467123834730499</v>
      </c>
      <c r="CM19" s="9">
        <f t="shared" si="16"/>
        <v>0.22210940572591761</v>
      </c>
      <c r="CN19" s="9">
        <f t="shared" si="16"/>
        <v>0.20995729628098453</v>
      </c>
      <c r="CO19" s="9">
        <f t="shared" si="16"/>
        <v>0.19816869623029801</v>
      </c>
      <c r="CP19" s="9">
        <f t="shared" si="16"/>
        <v>0.17547300927658591</v>
      </c>
      <c r="CQ19" s="9">
        <f t="shared" si="16"/>
        <v>0.15103189752417609</v>
      </c>
      <c r="CR19" s="9">
        <f t="shared" si="16"/>
        <v>0.12568323024333025</v>
      </c>
      <c r="CS19" s="9">
        <f t="shared" si="16"/>
        <v>9.9232463102090843E-2</v>
      </c>
      <c r="CT19" s="9">
        <f t="shared" si="16"/>
        <v>7.2794190683158094E-2</v>
      </c>
      <c r="CU19" s="9">
        <f t="shared" si="16"/>
        <v>4.6652970739994339E-2</v>
      </c>
      <c r="CV19" s="9">
        <f t="shared" si="16"/>
        <v>2.1309426893121177E-2</v>
      </c>
      <c r="CW19" s="9">
        <f t="shared" si="16"/>
        <v>-2.9561579605678298E-3</v>
      </c>
      <c r="CX19" s="9">
        <f t="shared" si="16"/>
        <v>-2.5995162095748016E-2</v>
      </c>
      <c r="CY19" s="9">
        <f t="shared" si="16"/>
        <v>-4.765344159198516E-2</v>
      </c>
      <c r="CZ19" s="9">
        <f t="shared" si="16"/>
        <v>-8.6046551957418463E-2</v>
      </c>
      <c r="DA19" s="9">
        <f t="shared" si="16"/>
        <v>-0.12304022543164832</v>
      </c>
      <c r="DB19" s="9">
        <f t="shared" si="16"/>
        <v>-0.15816021894479573</v>
      </c>
      <c r="DC19" s="9">
        <f t="shared" si="16"/>
        <v>-0.19109352037730684</v>
      </c>
      <c r="DD19" s="9">
        <f t="shared" si="16"/>
        <v>-0.22170511665849976</v>
      </c>
      <c r="DE19" s="9">
        <f t="shared" si="16"/>
        <v>-0.24993885639822014</v>
      </c>
      <c r="DF19" s="9">
        <f t="shared" si="16"/>
        <v>-0.27553853755737689</v>
      </c>
      <c r="DG19" s="9">
        <f t="shared" si="16"/>
        <v>-0.29849786955312552</v>
      </c>
      <c r="DH19" s="9">
        <f t="shared" si="16"/>
        <v>-0.31933073480626872</v>
      </c>
      <c r="DI19" s="9">
        <f t="shared" si="16"/>
        <v>-0.33729646265343599</v>
      </c>
      <c r="DJ19" s="9">
        <f t="shared" si="16"/>
        <v>-0.35285912781344458</v>
      </c>
    </row>
    <row r="20" spans="1:114" x14ac:dyDescent="0.3">
      <c r="A20" t="s">
        <v>821</v>
      </c>
      <c r="B20" t="s">
        <v>686</v>
      </c>
      <c r="C20" t="s">
        <v>22</v>
      </c>
      <c r="D20">
        <v>7.7502080000000002E-4</v>
      </c>
      <c r="E20">
        <v>8.3318610000000001E-4</v>
      </c>
      <c r="F20">
        <v>8.342833E-4</v>
      </c>
      <c r="G20">
        <v>7.9998210000000001E-4</v>
      </c>
      <c r="H20">
        <v>7.6459740000000003E-4</v>
      </c>
      <c r="I20">
        <v>7.5499689999999995E-4</v>
      </c>
      <c r="J20">
        <v>7.5417400000000003E-4</v>
      </c>
      <c r="K20">
        <v>7.5389969999999995E-4</v>
      </c>
      <c r="L20">
        <v>7.5225390000000002E-4</v>
      </c>
      <c r="M20">
        <v>7.4759079999999996E-4</v>
      </c>
      <c r="N20">
        <v>7.3991040000000001E-4</v>
      </c>
      <c r="O20">
        <v>7.3195569999999998E-4</v>
      </c>
      <c r="P20">
        <v>7.2180659999999995E-4</v>
      </c>
      <c r="Q20">
        <v>7.1467480000000005E-4</v>
      </c>
      <c r="R20">
        <v>7.0752930000000003E-4</v>
      </c>
      <c r="S20">
        <v>7.0122040000000004E-4</v>
      </c>
      <c r="T20">
        <v>6.9546009999999999E-4</v>
      </c>
      <c r="U20">
        <v>6.891512E-4</v>
      </c>
      <c r="V20">
        <v>6.8229369999999996E-4</v>
      </c>
      <c r="W20">
        <v>6.7598479999999997E-4</v>
      </c>
      <c r="X20">
        <v>6.6940160000000001E-4</v>
      </c>
      <c r="Y20">
        <v>6.6199550000000003E-4</v>
      </c>
      <c r="Z20">
        <v>6.5596090000000001E-4</v>
      </c>
      <c r="AA20">
        <v>6.4965200000000002E-4</v>
      </c>
      <c r="AB20">
        <v>6.4389169999999997E-4</v>
      </c>
      <c r="AC20">
        <v>6.3785709999999995E-4</v>
      </c>
      <c r="AD20">
        <v>6.3290600000000003E-4</v>
      </c>
      <c r="AE20">
        <v>6.2741999999999995E-4</v>
      </c>
      <c r="AF20">
        <v>6.2220829999999996E-4</v>
      </c>
      <c r="AG20">
        <v>6.1754520000000001E-4</v>
      </c>
      <c r="AH20">
        <v>6.1288209999999996E-4</v>
      </c>
      <c r="AI20">
        <v>6.0876759999999995E-4</v>
      </c>
      <c r="AJ20">
        <v>6.0492740000000003E-4</v>
      </c>
      <c r="AK20">
        <v>6.0079920000000002E-4</v>
      </c>
      <c r="AL20">
        <v>5.9641040000000005E-4</v>
      </c>
      <c r="AM20">
        <v>5.9202159999999996E-4</v>
      </c>
      <c r="AO20" t="str">
        <f t="shared" si="0"/>
        <v>Baseline uncompeted_Best Commercial Oil WH</v>
      </c>
      <c r="AP20" s="111"/>
      <c r="AQ20" s="111"/>
      <c r="AR20" s="111"/>
      <c r="AS20" s="111"/>
      <c r="AT20" s="111"/>
      <c r="AU20" s="209"/>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row>
    <row r="21" spans="1:114" x14ac:dyDescent="0.3">
      <c r="A21" t="s">
        <v>821</v>
      </c>
      <c r="B21" t="s">
        <v>685</v>
      </c>
      <c r="C21" t="s">
        <v>22</v>
      </c>
      <c r="D21">
        <v>7.7502080000000002E-4</v>
      </c>
      <c r="E21">
        <v>8.3318610000000001E-4</v>
      </c>
      <c r="F21">
        <v>2.8820077556005602E-4</v>
      </c>
      <c r="G21">
        <v>2.7640364299241999E-4</v>
      </c>
      <c r="H21">
        <v>2.6427128635475599E-4</v>
      </c>
      <c r="I21">
        <v>2.61075065480145E-4</v>
      </c>
      <c r="J21">
        <v>2.6093687607278601E-4</v>
      </c>
      <c r="K21">
        <v>2.6100643262909199E-4</v>
      </c>
      <c r="L21">
        <v>2.6061522103766599E-4</v>
      </c>
      <c r="M21">
        <v>2.5918822104231503E-4</v>
      </c>
      <c r="N21">
        <v>2.5672181841612801E-4</v>
      </c>
      <c r="O21">
        <v>2.5415832374112499E-4</v>
      </c>
      <c r="P21">
        <v>2.5082786321394999E-4</v>
      </c>
      <c r="Q21">
        <v>2.4854716664244702E-4</v>
      </c>
      <c r="R21">
        <v>2.46254637384473E-4</v>
      </c>
      <c r="S21">
        <v>2.4424729891098598E-4</v>
      </c>
      <c r="T21">
        <v>2.4242404432294699E-4</v>
      </c>
      <c r="U21">
        <v>2.4040356397779099E-4</v>
      </c>
      <c r="V21">
        <v>2.3818315693553899E-4</v>
      </c>
      <c r="W21">
        <v>2.3614528439810901E-4</v>
      </c>
      <c r="X21">
        <v>2.34002639424695E-4</v>
      </c>
      <c r="Y21">
        <v>2.3156321103901E-4</v>
      </c>
      <c r="Z21">
        <v>2.2959433302200899E-4</v>
      </c>
      <c r="AA21">
        <v>2.27520683252969E-4</v>
      </c>
      <c r="AB21">
        <v>2.2563042101951799E-4</v>
      </c>
      <c r="AC21">
        <v>2.23637086774238E-4</v>
      </c>
      <c r="AD21">
        <v>2.2201844520151399E-4</v>
      </c>
      <c r="AE21">
        <v>2.2020173501809901E-4</v>
      </c>
      <c r="AF21">
        <v>2.1847562016806901E-4</v>
      </c>
      <c r="AG21">
        <v>2.1693480909505501E-4</v>
      </c>
      <c r="AH21">
        <v>2.1538750497625199E-4</v>
      </c>
      <c r="AI21">
        <v>2.1402665590483999E-4</v>
      </c>
      <c r="AJ21">
        <v>2.12756380190662E-4</v>
      </c>
      <c r="AK21">
        <v>2.1138196118081001E-4</v>
      </c>
      <c r="AL21">
        <v>2.09907730567622E-4</v>
      </c>
      <c r="AM21">
        <v>2.0842826587975301E-4</v>
      </c>
      <c r="AO21" t="str">
        <f t="shared" si="0"/>
        <v>Efficient uncompeted_Best Commercial Oil WH</v>
      </c>
      <c r="AP21" s="111">
        <f t="shared" ref="AP21:BY21" si="17">(D20-D21)*293071083333.33</f>
        <v>0</v>
      </c>
      <c r="AQ21" s="111">
        <f t="shared" si="17"/>
        <v>0</v>
      </c>
      <c r="AR21" s="111">
        <f t="shared" si="17"/>
        <v>160040997.02701405</v>
      </c>
      <c r="AS21" s="111">
        <f t="shared" si="17"/>
        <v>153445705.60520482</v>
      </c>
      <c r="AT21" s="111">
        <f t="shared" si="17"/>
        <v>146631116.14596644</v>
      </c>
      <c r="AU21" s="209">
        <f t="shared" si="17"/>
        <v>144754207.12471965</v>
      </c>
      <c r="AV21" s="111">
        <f t="shared" si="17"/>
        <v>144553538.24956459</v>
      </c>
      <c r="AW21" s="111">
        <f t="shared" si="17"/>
        <v>144452763.83609667</v>
      </c>
      <c r="AX21" s="111">
        <f t="shared" si="17"/>
        <v>144085080.25205848</v>
      </c>
      <c r="AY21" s="111">
        <f t="shared" si="17"/>
        <v>143136672.91792098</v>
      </c>
      <c r="AZ21" s="111">
        <f t="shared" si="17"/>
        <v>141608601.05908048</v>
      </c>
      <c r="BA21" s="111">
        <f t="shared" si="17"/>
        <v>140028594.6740112</v>
      </c>
      <c r="BB21" s="111">
        <f t="shared" si="17"/>
        <v>138030248.61685094</v>
      </c>
      <c r="BC21" s="111">
        <f t="shared" si="17"/>
        <v>136608530.47969931</v>
      </c>
      <c r="BD21" s="111">
        <f t="shared" si="17"/>
        <v>135186265.08694881</v>
      </c>
      <c r="BE21" s="111">
        <f t="shared" si="17"/>
        <v>133925601.79034868</v>
      </c>
      <c r="BF21" s="111">
        <f t="shared" si="17"/>
        <v>132771767.62633274</v>
      </c>
      <c r="BG21" s="111">
        <f t="shared" si="17"/>
        <v>131514955.83229966</v>
      </c>
      <c r="BH21" s="111">
        <f t="shared" si="17"/>
        <v>130155957.97565509</v>
      </c>
      <c r="BI21" s="111">
        <f t="shared" si="17"/>
        <v>128904243.33025329</v>
      </c>
      <c r="BJ21" s="111">
        <f t="shared" si="17"/>
        <v>127602845.05801047</v>
      </c>
      <c r="BK21" s="111">
        <f t="shared" si="17"/>
        <v>126147257.22744229</v>
      </c>
      <c r="BL21" s="111">
        <f t="shared" si="17"/>
        <v>124955711.68135263</v>
      </c>
      <c r="BM21" s="111">
        <f t="shared" si="17"/>
        <v>123714482.30797745</v>
      </c>
      <c r="BN21" s="111">
        <f t="shared" si="17"/>
        <v>122580286.14719404</v>
      </c>
      <c r="BO21" s="111">
        <f t="shared" si="17"/>
        <v>121395908.01442033</v>
      </c>
      <c r="BP21" s="111">
        <f t="shared" si="17"/>
        <v>120419260.8129753</v>
      </c>
      <c r="BQ21" s="111">
        <f t="shared" si="17"/>
        <v>119343898.07136476</v>
      </c>
      <c r="BR21" s="111">
        <f t="shared" si="17"/>
        <v>118322373.85541248</v>
      </c>
      <c r="BS21" s="111">
        <f t="shared" si="17"/>
        <v>117407321.25710104</v>
      </c>
      <c r="BT21" s="111">
        <f t="shared" si="17"/>
        <v>116494171.58275311</v>
      </c>
      <c r="BU21" s="111">
        <f t="shared" si="17"/>
        <v>115687156.12199</v>
      </c>
      <c r="BV21" s="111">
        <f t="shared" si="17"/>
        <v>114933985.62745953</v>
      </c>
      <c r="BW21" s="111">
        <f t="shared" si="17"/>
        <v>114126932.0494141</v>
      </c>
      <c r="BX21" s="111">
        <f t="shared" si="17"/>
        <v>113272756.04177098</v>
      </c>
      <c r="BY21" s="111">
        <f t="shared" si="17"/>
        <v>112420113.99006481</v>
      </c>
      <c r="CA21" s="9">
        <f t="shared" ref="CA21:DJ21" si="18">(D20-D21)/D20</f>
        <v>0</v>
      </c>
      <c r="CB21" s="9">
        <f t="shared" si="18"/>
        <v>0</v>
      </c>
      <c r="CC21" s="9">
        <f t="shared" si="18"/>
        <v>0.65455286524366962</v>
      </c>
      <c r="CD21" s="9">
        <f t="shared" si="18"/>
        <v>0.6544877154221076</v>
      </c>
      <c r="CE21" s="9">
        <f t="shared" si="18"/>
        <v>0.65436543943942782</v>
      </c>
      <c r="CF21" s="9">
        <f t="shared" si="18"/>
        <v>0.65420379145908414</v>
      </c>
      <c r="CG21" s="9">
        <f t="shared" si="18"/>
        <v>0.65400971649409034</v>
      </c>
      <c r="CH21" s="9">
        <f t="shared" si="18"/>
        <v>0.65379156852152609</v>
      </c>
      <c r="CI21" s="9">
        <f t="shared" si="18"/>
        <v>0.65355417760191603</v>
      </c>
      <c r="CJ21" s="9">
        <f t="shared" si="18"/>
        <v>0.65330201890885353</v>
      </c>
      <c r="CK21" s="9">
        <f t="shared" si="18"/>
        <v>0.65303661306000294</v>
      </c>
      <c r="CL21" s="9">
        <f t="shared" si="18"/>
        <v>0.65276816104973978</v>
      </c>
      <c r="CM21" s="9">
        <f t="shared" si="18"/>
        <v>0.65249990341741126</v>
      </c>
      <c r="CN21" s="9">
        <f t="shared" si="18"/>
        <v>0.65222340756600483</v>
      </c>
      <c r="CO21" s="9">
        <f t="shared" si="18"/>
        <v>0.65195132217920448</v>
      </c>
      <c r="CP21" s="9">
        <f t="shared" si="18"/>
        <v>0.65168255385755181</v>
      </c>
      <c r="CQ21" s="9">
        <f t="shared" si="18"/>
        <v>0.65141919094575373</v>
      </c>
      <c r="CR21" s="9">
        <f t="shared" si="18"/>
        <v>0.6511599138508487</v>
      </c>
      <c r="CS21" s="9">
        <f t="shared" si="18"/>
        <v>0.65090816911318539</v>
      </c>
      <c r="CT21" s="9">
        <f t="shared" si="18"/>
        <v>0.65066480134152571</v>
      </c>
      <c r="CU21" s="9">
        <f t="shared" si="18"/>
        <v>0.65043011635362835</v>
      </c>
      <c r="CV21" s="9">
        <f t="shared" si="18"/>
        <v>0.65020425208478005</v>
      </c>
      <c r="CW21" s="9">
        <f t="shared" si="18"/>
        <v>0.64998777667691932</v>
      </c>
      <c r="CX21" s="9">
        <f t="shared" si="18"/>
        <v>0.64978067757357938</v>
      </c>
      <c r="CY21" s="9">
        <f t="shared" si="18"/>
        <v>0.64958327461043841</v>
      </c>
      <c r="CZ21" s="9">
        <f t="shared" si="18"/>
        <v>0.64939312147777606</v>
      </c>
      <c r="DA21" s="9">
        <f t="shared" si="18"/>
        <v>0.64920786783264184</v>
      </c>
      <c r="DB21" s="9">
        <f t="shared" si="18"/>
        <v>0.64903615597510589</v>
      </c>
      <c r="DC21" s="9">
        <f t="shared" si="18"/>
        <v>0.64887061106695454</v>
      </c>
      <c r="DD21" s="9">
        <f t="shared" si="18"/>
        <v>0.64871428181280499</v>
      </c>
      <c r="DE21" s="9">
        <f t="shared" si="18"/>
        <v>0.64856616798524214</v>
      </c>
      <c r="DF21" s="9">
        <f t="shared" si="18"/>
        <v>0.64842633559203877</v>
      </c>
      <c r="DG21" s="9">
        <f t="shared" si="18"/>
        <v>0.64829435699116622</v>
      </c>
      <c r="DH21" s="9">
        <f t="shared" si="18"/>
        <v>0.64816537508570249</v>
      </c>
      <c r="DI21" s="9">
        <f t="shared" si="18"/>
        <v>0.64804817191715314</v>
      </c>
      <c r="DJ21" s="9">
        <f t="shared" si="18"/>
        <v>0.64793807205724763</v>
      </c>
    </row>
    <row r="22" spans="1:114" x14ac:dyDescent="0.3">
      <c r="A22" t="s">
        <v>820</v>
      </c>
      <c r="B22" t="s">
        <v>686</v>
      </c>
      <c r="C22" t="s">
        <v>21</v>
      </c>
      <c r="D22">
        <v>0.26393787128007001</v>
      </c>
      <c r="E22">
        <v>0.26755050225208898</v>
      </c>
      <c r="F22">
        <v>0.26896715395613802</v>
      </c>
      <c r="G22">
        <v>0.26986925508267201</v>
      </c>
      <c r="H22">
        <v>0.27133268674862598</v>
      </c>
      <c r="I22">
        <v>0.271353313210495</v>
      </c>
      <c r="J22">
        <v>0.26861196068675902</v>
      </c>
      <c r="K22">
        <v>0.26620101212352298</v>
      </c>
      <c r="L22">
        <v>0.26430596006899698</v>
      </c>
      <c r="M22">
        <v>0.263591069871976</v>
      </c>
      <c r="N22">
        <v>0.26220457657799801</v>
      </c>
      <c r="O22">
        <v>0.26136147422341099</v>
      </c>
      <c r="P22">
        <v>0.26124547174571899</v>
      </c>
      <c r="Q22">
        <v>0.26169932436811599</v>
      </c>
      <c r="R22">
        <v>0.26309620836396602</v>
      </c>
      <c r="S22">
        <v>0.26390299292082198</v>
      </c>
      <c r="T22">
        <v>0.26462352729007399</v>
      </c>
      <c r="U22">
        <v>0.26459604832230899</v>
      </c>
      <c r="V22">
        <v>0.26555648987322999</v>
      </c>
      <c r="W22">
        <v>0.26633402843963699</v>
      </c>
      <c r="X22">
        <v>0.267601126640586</v>
      </c>
      <c r="Y22">
        <v>0.26909770869894201</v>
      </c>
      <c r="Z22">
        <v>0.270229639708708</v>
      </c>
      <c r="AA22">
        <v>0.271514109436643</v>
      </c>
      <c r="AB22">
        <v>0.27308184614701497</v>
      </c>
      <c r="AC22">
        <v>0.27454899628085799</v>
      </c>
      <c r="AD22">
        <v>0.27590291999269101</v>
      </c>
      <c r="AE22">
        <v>0.27731790169549903</v>
      </c>
      <c r="AF22">
        <v>0.278849475899068</v>
      </c>
      <c r="AG22">
        <v>0.28048756567332001</v>
      </c>
      <c r="AH22">
        <v>0.28217620475947303</v>
      </c>
      <c r="AI22">
        <v>0.28398968691311199</v>
      </c>
      <c r="AJ22">
        <v>0.286062085558761</v>
      </c>
      <c r="AK22">
        <v>0.28799497422520098</v>
      </c>
      <c r="AL22">
        <v>0.290064478155868</v>
      </c>
      <c r="AM22">
        <v>0.29199990785795099</v>
      </c>
      <c r="AO22" t="str">
        <f t="shared" si="0"/>
        <v>Baseline uncompeted_Best Commercial Refrigeration</v>
      </c>
      <c r="AP22" s="111"/>
      <c r="AQ22" s="111"/>
      <c r="AR22" s="111"/>
      <c r="AS22" s="111"/>
      <c r="AT22" s="111"/>
      <c r="AU22" s="209"/>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row>
    <row r="23" spans="1:114" x14ac:dyDescent="0.3">
      <c r="A23" t="s">
        <v>820</v>
      </c>
      <c r="B23" t="s">
        <v>685</v>
      </c>
      <c r="C23" t="s">
        <v>21</v>
      </c>
      <c r="D23">
        <v>0.26393787128007001</v>
      </c>
      <c r="E23">
        <v>0.26755050225208898</v>
      </c>
      <c r="F23">
        <v>0.228344189014349</v>
      </c>
      <c r="G23">
        <v>0.229297595660828</v>
      </c>
      <c r="H23">
        <v>0.23086047116910399</v>
      </c>
      <c r="I23">
        <v>0.23161428027490599</v>
      </c>
      <c r="J23">
        <v>0.23073097953417199</v>
      </c>
      <c r="K23">
        <v>0.230629579276796</v>
      </c>
      <c r="L23">
        <v>0.23131756716190499</v>
      </c>
      <c r="M23">
        <v>0.23327119879114799</v>
      </c>
      <c r="N23">
        <v>0.234771105177739</v>
      </c>
      <c r="O23">
        <v>0.23682480164807901</v>
      </c>
      <c r="P23">
        <v>0.23955868377189399</v>
      </c>
      <c r="Q23">
        <v>0.242804399104708</v>
      </c>
      <c r="R23">
        <v>0.24689834562978899</v>
      </c>
      <c r="S23">
        <v>0.25053876165690198</v>
      </c>
      <c r="T23">
        <v>0.25413793646490501</v>
      </c>
      <c r="U23">
        <v>0.25700936391831303</v>
      </c>
      <c r="V23">
        <v>0.260796767494749</v>
      </c>
      <c r="W23">
        <v>0.26434071624352001</v>
      </c>
      <c r="X23">
        <v>0.26829113409876298</v>
      </c>
      <c r="Y23">
        <v>0.27238459968056999</v>
      </c>
      <c r="Z23">
        <v>0.27600831637642997</v>
      </c>
      <c r="AA23">
        <v>0.279680443698681</v>
      </c>
      <c r="AB23">
        <v>0.28353094600284401</v>
      </c>
      <c r="AC23">
        <v>0.28723722686018699</v>
      </c>
      <c r="AD23">
        <v>0.29077933777107301</v>
      </c>
      <c r="AE23">
        <v>0.294326502284667</v>
      </c>
      <c r="AF23">
        <v>0.297927315084906</v>
      </c>
      <c r="AG23">
        <v>0.30156472546864899</v>
      </c>
      <c r="AH23">
        <v>0.305174054026987</v>
      </c>
      <c r="AI23">
        <v>0.30883940177180003</v>
      </c>
      <c r="AJ23">
        <v>0.312702608931128</v>
      </c>
      <c r="AK23">
        <v>0.31633058355554999</v>
      </c>
      <c r="AL23">
        <v>0.320019161424212</v>
      </c>
      <c r="AM23">
        <v>0.32348820905213999</v>
      </c>
      <c r="AO23" t="str">
        <f t="shared" si="0"/>
        <v>Efficient uncompeted_Best Commercial Refrigeration</v>
      </c>
      <c r="AP23" s="111">
        <f t="shared" ref="AP23:BY23" si="19">(D22-D23)*293071083333.33</f>
        <v>0</v>
      </c>
      <c r="AQ23" s="111">
        <f t="shared" si="19"/>
        <v>0</v>
      </c>
      <c r="AR23" s="111">
        <f t="shared" si="19"/>
        <v>11905416343.701994</v>
      </c>
      <c r="AS23" s="111">
        <f t="shared" si="19"/>
        <v>11890380179.390732</v>
      </c>
      <c r="AT23" s="111">
        <f t="shared" si="19"/>
        <v>11861236064.790586</v>
      </c>
      <c r="AU23" s="209">
        <f t="shared" si="19"/>
        <v>11646361433.05195</v>
      </c>
      <c r="AV23" s="111">
        <f t="shared" si="19"/>
        <v>11101820184.118139</v>
      </c>
      <c r="AW23" s="111">
        <f t="shared" si="19"/>
        <v>10424958360.109076</v>
      </c>
      <c r="AX23" s="111">
        <f t="shared" si="19"/>
        <v>9667944046.7069893</v>
      </c>
      <c r="AY23" s="111">
        <f t="shared" si="19"/>
        <v>8885877464.1851692</v>
      </c>
      <c r="AZ23" s="111">
        <f t="shared" si="19"/>
        <v>8039957182.8678331</v>
      </c>
      <c r="BA23" s="111">
        <f t="shared" si="19"/>
        <v>7190989213.0477533</v>
      </c>
      <c r="BB23" s="111">
        <f t="shared" si="19"/>
        <v>6355770445.5091276</v>
      </c>
      <c r="BC23" s="111">
        <f t="shared" si="19"/>
        <v>5537556216.4492874</v>
      </c>
      <c r="BD23" s="111">
        <f t="shared" si="19"/>
        <v>4747125179.1898375</v>
      </c>
      <c r="BE23" s="111">
        <f t="shared" si="19"/>
        <v>3916669734.4341931</v>
      </c>
      <c r="BF23" s="111">
        <f t="shared" si="19"/>
        <v>3073023462.5222983</v>
      </c>
      <c r="BG23" s="111">
        <f t="shared" si="19"/>
        <v>2223437817.1871748</v>
      </c>
      <c r="BH23" s="111">
        <f t="shared" si="19"/>
        <v>1394936993.8273182</v>
      </c>
      <c r="BI23" s="111">
        <f t="shared" si="19"/>
        <v>584182164.73754275</v>
      </c>
      <c r="BJ23" s="111">
        <f t="shared" si="19"/>
        <v>-202221233.27600753</v>
      </c>
      <c r="BK23" s="111">
        <f t="shared" si="19"/>
        <v>-963292700.78426695</v>
      </c>
      <c r="BL23" s="111">
        <f t="shared" si="19"/>
        <v>-1693563031.2423158</v>
      </c>
      <c r="BM23" s="111">
        <f t="shared" si="19"/>
        <v>-2393316429.0375667</v>
      </c>
      <c r="BN23" s="111">
        <f t="shared" si="19"/>
        <v>-3062329014.605958</v>
      </c>
      <c r="BO23" s="111">
        <f t="shared" si="19"/>
        <v>-3718553481.4670343</v>
      </c>
      <c r="BP23" s="111">
        <f t="shared" si="19"/>
        <v>-4359847874.4296236</v>
      </c>
      <c r="BQ23" s="111">
        <f t="shared" si="19"/>
        <v>-4984729000.6513739</v>
      </c>
      <c r="BR23" s="111">
        <f t="shared" si="19"/>
        <v>-5591162997.8525963</v>
      </c>
      <c r="BS23" s="111">
        <f t="shared" si="19"/>
        <v>-6177106054.8067732</v>
      </c>
      <c r="BT23" s="111">
        <f t="shared" si="19"/>
        <v>-6740004599.1669493</v>
      </c>
      <c r="BU23" s="111">
        <f t="shared" si="19"/>
        <v>-7282732854.1600494</v>
      </c>
      <c r="BV23" s="111">
        <f t="shared" si="19"/>
        <v>-7807567045.3064947</v>
      </c>
      <c r="BW23" s="111">
        <f t="shared" si="19"/>
        <v>-8304347723.3553982</v>
      </c>
      <c r="BX23" s="111">
        <f t="shared" si="19"/>
        <v>-8778851476.3603497</v>
      </c>
      <c r="BY23" s="111">
        <f t="shared" si="19"/>
        <v>-9228310543.3071575</v>
      </c>
      <c r="CA23" s="9">
        <f t="shared" ref="CA23:DJ23" si="20">(D22-D23)/D22</f>
        <v>0</v>
      </c>
      <c r="CB23" s="9">
        <f t="shared" si="20"/>
        <v>0</v>
      </c>
      <c r="CC23" s="9">
        <f t="shared" si="20"/>
        <v>0.15103318135423197</v>
      </c>
      <c r="CD23" s="9">
        <f t="shared" si="20"/>
        <v>0.15033820510385762</v>
      </c>
      <c r="CE23" s="9">
        <f t="shared" si="20"/>
        <v>0.14916085512770216</v>
      </c>
      <c r="CF23" s="9">
        <f t="shared" si="20"/>
        <v>0.14644756854235469</v>
      </c>
      <c r="CG23" s="9">
        <f t="shared" si="20"/>
        <v>0.14102492329729807</v>
      </c>
      <c r="CH23" s="9">
        <f t="shared" si="20"/>
        <v>0.13362621187263207</v>
      </c>
      <c r="CI23" s="9">
        <f t="shared" si="20"/>
        <v>0.12481138487562059</v>
      </c>
      <c r="CJ23" s="9">
        <f t="shared" si="20"/>
        <v>0.11502616949638741</v>
      </c>
      <c r="CK23" s="9">
        <f t="shared" si="20"/>
        <v>0.10462621117560231</v>
      </c>
      <c r="CL23" s="9">
        <f t="shared" si="20"/>
        <v>9.3880219524466388E-2</v>
      </c>
      <c r="CM23" s="9">
        <f t="shared" si="20"/>
        <v>8.3013067475993046E-2</v>
      </c>
      <c r="CN23" s="9">
        <f t="shared" si="20"/>
        <v>7.2200894324166057E-2</v>
      </c>
      <c r="CO23" s="9">
        <f t="shared" si="20"/>
        <v>6.1566310038831833E-2</v>
      </c>
      <c r="CP23" s="9">
        <f t="shared" si="20"/>
        <v>5.0640696098242552E-2</v>
      </c>
      <c r="CQ23" s="9">
        <f t="shared" si="20"/>
        <v>3.9624559964673602E-2</v>
      </c>
      <c r="CR23" s="9">
        <f t="shared" si="20"/>
        <v>2.8672704872578021E-2</v>
      </c>
      <c r="CS23" s="9">
        <f t="shared" si="20"/>
        <v>1.7923577694347301E-2</v>
      </c>
      <c r="CT23" s="9">
        <f t="shared" si="20"/>
        <v>7.4842565472956566E-3</v>
      </c>
      <c r="CU23" s="9">
        <f t="shared" si="20"/>
        <v>-2.5784923510570085E-3</v>
      </c>
      <c r="CV23" s="9">
        <f t="shared" si="20"/>
        <v>-1.2214488921216559E-2</v>
      </c>
      <c r="CW23" s="9">
        <f t="shared" si="20"/>
        <v>-2.1384318440978763E-2</v>
      </c>
      <c r="CX23" s="9">
        <f t="shared" si="20"/>
        <v>-3.0077016177840987E-2</v>
      </c>
      <c r="CY23" s="9">
        <f t="shared" si="20"/>
        <v>-3.8263619509162503E-2</v>
      </c>
      <c r="CZ23" s="9">
        <f t="shared" si="20"/>
        <v>-4.6214813207144989E-2</v>
      </c>
      <c r="DA23" s="9">
        <f t="shared" si="20"/>
        <v>-5.391902984852822E-2</v>
      </c>
      <c r="DB23" s="9">
        <f t="shared" si="20"/>
        <v>-6.1332501382632638E-2</v>
      </c>
      <c r="DC23" s="9">
        <f t="shared" si="20"/>
        <v>-6.8416263377677589E-2</v>
      </c>
      <c r="DD23" s="9">
        <f t="shared" si="20"/>
        <v>-7.5144720746292401E-2</v>
      </c>
      <c r="DE23" s="9">
        <f t="shared" si="20"/>
        <v>-8.1501731469942107E-2</v>
      </c>
      <c r="DF23" s="9">
        <f t="shared" si="20"/>
        <v>-8.7502173507768691E-2</v>
      </c>
      <c r="DG23" s="9">
        <f t="shared" si="20"/>
        <v>-9.3128466571620078E-2</v>
      </c>
      <c r="DH23" s="9">
        <f t="shared" si="20"/>
        <v>-9.8389249349162794E-2</v>
      </c>
      <c r="DI23" s="9">
        <f t="shared" si="20"/>
        <v>-0.10326905058759954</v>
      </c>
      <c r="DJ23" s="9">
        <f t="shared" si="20"/>
        <v>-0.1078366819537049</v>
      </c>
    </row>
    <row r="24" spans="1:114" x14ac:dyDescent="0.3">
      <c r="A24" t="s">
        <v>819</v>
      </c>
      <c r="B24" t="s">
        <v>686</v>
      </c>
      <c r="C24" t="s">
        <v>679</v>
      </c>
      <c r="D24">
        <v>0.10322832182878</v>
      </c>
      <c r="E24">
        <v>9.7129716459860002E-2</v>
      </c>
      <c r="F24">
        <v>8.9016034299158095E-2</v>
      </c>
      <c r="G24">
        <v>0.110047575093845</v>
      </c>
      <c r="H24">
        <v>0.105721746320247</v>
      </c>
      <c r="I24">
        <v>0.102939580523497</v>
      </c>
      <c r="J24">
        <v>0.102423262692664</v>
      </c>
      <c r="K24">
        <v>0.101755120454092</v>
      </c>
      <c r="L24">
        <v>0.10097346981477</v>
      </c>
      <c r="M24">
        <v>0.100115760820962</v>
      </c>
      <c r="N24">
        <v>9.9163341599072294E-2</v>
      </c>
      <c r="O24">
        <v>9.8395446626769204E-2</v>
      </c>
      <c r="P24">
        <v>9.7914095692375094E-2</v>
      </c>
      <c r="Q24">
        <v>9.75341317710713E-2</v>
      </c>
      <c r="R24">
        <v>9.7309444924253405E-2</v>
      </c>
      <c r="S24">
        <v>9.7032775583269101E-2</v>
      </c>
      <c r="T24">
        <v>9.6774903934834094E-2</v>
      </c>
      <c r="U24">
        <v>9.6390533785214005E-2</v>
      </c>
      <c r="V24">
        <v>9.6043354920814006E-2</v>
      </c>
      <c r="W24">
        <v>9.5729934244832199E-2</v>
      </c>
      <c r="X24">
        <v>9.5475089724297593E-2</v>
      </c>
      <c r="Y24">
        <v>9.5210815375778704E-2</v>
      </c>
      <c r="Z24">
        <v>9.4934150764575703E-2</v>
      </c>
      <c r="AA24">
        <v>9.4714177916070397E-2</v>
      </c>
      <c r="AB24">
        <v>9.4543617911333006E-2</v>
      </c>
      <c r="AC24">
        <v>9.4373875910160804E-2</v>
      </c>
      <c r="AD24">
        <v>9.41825411355003E-2</v>
      </c>
      <c r="AE24">
        <v>9.4026752146292303E-2</v>
      </c>
      <c r="AF24">
        <v>9.3856490437855905E-2</v>
      </c>
      <c r="AG24">
        <v>9.3686994865252199E-2</v>
      </c>
      <c r="AH24">
        <v>9.3515184897292103E-2</v>
      </c>
      <c r="AI24">
        <v>9.3368603632506195E-2</v>
      </c>
      <c r="AJ24">
        <v>9.3213089847514696E-2</v>
      </c>
      <c r="AK24">
        <v>9.3046237880935703E-2</v>
      </c>
      <c r="AL24">
        <v>9.2865634996356194E-2</v>
      </c>
      <c r="AM24">
        <v>9.2717544791745599E-2</v>
      </c>
      <c r="AO24" t="str">
        <f t="shared" si="0"/>
        <v>Baseline uncompeted_Best Commercial Roofs</v>
      </c>
      <c r="AP24" s="111"/>
      <c r="AQ24" s="111"/>
      <c r="AR24" s="111"/>
      <c r="AS24" s="111"/>
      <c r="AT24" s="111"/>
      <c r="AU24" s="209"/>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row>
    <row r="25" spans="1:114" x14ac:dyDescent="0.3">
      <c r="A25" t="s">
        <v>819</v>
      </c>
      <c r="B25" t="s">
        <v>685</v>
      </c>
      <c r="C25" t="s">
        <v>679</v>
      </c>
      <c r="D25">
        <v>8.8793141865731104E-2</v>
      </c>
      <c r="E25">
        <v>8.3701335741161495E-2</v>
      </c>
      <c r="F25">
        <v>7.6932204137393503E-2</v>
      </c>
      <c r="G25">
        <v>9.5478879197645902E-2</v>
      </c>
      <c r="H25">
        <v>9.2170200579411096E-2</v>
      </c>
      <c r="I25">
        <v>9.0332756016339194E-2</v>
      </c>
      <c r="J25">
        <v>9.0612667751347506E-2</v>
      </c>
      <c r="K25">
        <v>9.0852662129380493E-2</v>
      </c>
      <c r="L25">
        <v>9.1086024471442595E-2</v>
      </c>
      <c r="M25">
        <v>9.1336729176600601E-2</v>
      </c>
      <c r="N25">
        <v>9.1576532823110193E-2</v>
      </c>
      <c r="O25">
        <v>9.2127827416192104E-2</v>
      </c>
      <c r="P25">
        <v>9.3084031975259302E-2</v>
      </c>
      <c r="Q25">
        <v>9.4243915885073207E-2</v>
      </c>
      <c r="R25">
        <v>9.5682626817189503E-2</v>
      </c>
      <c r="S25">
        <v>9.7195255032823502E-2</v>
      </c>
      <c r="T25">
        <v>9.8818744852386398E-2</v>
      </c>
      <c r="U25">
        <v>0.100423108005078</v>
      </c>
      <c r="V25">
        <v>0.10216617151912</v>
      </c>
      <c r="W25">
        <v>0.104018507280782</v>
      </c>
      <c r="X25">
        <v>0.106027188391007</v>
      </c>
      <c r="Y25">
        <v>0.10811546072874501</v>
      </c>
      <c r="Z25">
        <v>0.110248811668818</v>
      </c>
      <c r="AA25">
        <v>0.11252959156096</v>
      </c>
      <c r="AB25">
        <v>0.114947098209288</v>
      </c>
      <c r="AC25">
        <v>0.117417385775305</v>
      </c>
      <c r="AD25">
        <v>0.119933898764536</v>
      </c>
      <c r="AE25">
        <v>0.122565112723575</v>
      </c>
      <c r="AF25">
        <v>0.12521885171941399</v>
      </c>
      <c r="AG25">
        <v>0.12793520259244401</v>
      </c>
      <c r="AH25">
        <v>0.13070807400849199</v>
      </c>
      <c r="AI25">
        <v>0.13354854224872401</v>
      </c>
      <c r="AJ25">
        <v>0.136431671249653</v>
      </c>
      <c r="AK25">
        <v>0.139348175308591</v>
      </c>
      <c r="AL25">
        <v>0.142268983813266</v>
      </c>
      <c r="AM25">
        <v>0.145284592595432</v>
      </c>
      <c r="AO25" t="str">
        <f t="shared" si="0"/>
        <v>Efficient uncompeted_Best Commercial Roofs</v>
      </c>
      <c r="AP25" s="111">
        <f t="shared" ref="AP25:BY25" si="21">(D24-D25)*293071083333.33</f>
        <v>4230533829.882319</v>
      </c>
      <c r="AQ25" s="111">
        <f t="shared" si="21"/>
        <v>3935470084.6413722</v>
      </c>
      <c r="AR25" s="111">
        <f t="shared" si="21"/>
        <v>3541421196.3243175</v>
      </c>
      <c r="AS25" s="111">
        <f t="shared" si="21"/>
        <v>4269663489.0529075</v>
      </c>
      <c r="AT25" s="111">
        <f t="shared" si="21"/>
        <v>3971566191.1079531</v>
      </c>
      <c r="AU25" s="209">
        <f t="shared" si="21"/>
        <v>3694695715.7059121</v>
      </c>
      <c r="AV25" s="111">
        <f t="shared" si="21"/>
        <v>3461343854.2627711</v>
      </c>
      <c r="AW25" s="111">
        <f t="shared" si="21"/>
        <v>3195195272.2196851</v>
      </c>
      <c r="AX25" s="111">
        <f t="shared" si="21"/>
        <v>2897724318.1680512</v>
      </c>
      <c r="AY25" s="111">
        <f t="shared" si="21"/>
        <v>2572880314.6305823</v>
      </c>
      <c r="AZ25" s="111">
        <f t="shared" si="21"/>
        <v>2223474267.0140281</v>
      </c>
      <c r="BA25" s="111">
        <f t="shared" si="21"/>
        <v>1836857951.9646213</v>
      </c>
      <c r="BB25" s="111">
        <f t="shared" si="21"/>
        <v>1415552006.1441362</v>
      </c>
      <c r="BC25" s="111">
        <f t="shared" si="21"/>
        <v>964267134.10999346</v>
      </c>
      <c r="BD25" s="111">
        <f t="shared" si="21"/>
        <v>476773345.0234949</v>
      </c>
      <c r="BE25" s="111">
        <f t="shared" si="21"/>
        <v>-47618028.300311372</v>
      </c>
      <c r="BF25" s="111">
        <f t="shared" si="21"/>
        <v>-598990671.86804068</v>
      </c>
      <c r="BG25" s="111">
        <f t="shared" si="21"/>
        <v>-1181830895.2376003</v>
      </c>
      <c r="BH25" s="111">
        <f t="shared" si="21"/>
        <v>-1794420493.5168314</v>
      </c>
      <c r="BI25" s="111">
        <f t="shared" si="21"/>
        <v>-2429141078.933238</v>
      </c>
      <c r="BJ25" s="111">
        <f t="shared" si="21"/>
        <v>-3092514987.6927128</v>
      </c>
      <c r="BK25" s="111">
        <f t="shared" si="21"/>
        <v>-3781978393.6262569</v>
      </c>
      <c r="BL25" s="111">
        <f t="shared" si="21"/>
        <v>-4488284262.0888863</v>
      </c>
      <c r="BM25" s="111">
        <f t="shared" si="21"/>
        <v>-5221182576.9391851</v>
      </c>
      <c r="BN25" s="111">
        <f t="shared" si="21"/>
        <v>-5979670074.691926</v>
      </c>
      <c r="BO25" s="111">
        <f t="shared" si="21"/>
        <v>-6753386399.9800873</v>
      </c>
      <c r="BP25" s="111">
        <f t="shared" si="21"/>
        <v>-7546978277.6455059</v>
      </c>
      <c r="BQ25" s="111">
        <f t="shared" si="21"/>
        <v>-8363768250.9414358</v>
      </c>
      <c r="BR25" s="111">
        <f t="shared" si="21"/>
        <v>-9191401196.6775131</v>
      </c>
      <c r="BS25" s="111">
        <f t="shared" si="21"/>
        <v>-10037159340.833027</v>
      </c>
      <c r="BT25" s="111">
        <f t="shared" si="21"/>
        <v>-10900160304.115765</v>
      </c>
      <c r="BU25" s="111">
        <f t="shared" si="21"/>
        <v>-11775578138.521654</v>
      </c>
      <c r="BV25" s="111">
        <f t="shared" si="21"/>
        <v>-12666116471.654381</v>
      </c>
      <c r="BW25" s="111">
        <f t="shared" si="21"/>
        <v>-13569758962.355</v>
      </c>
      <c r="BX25" s="111">
        <f t="shared" si="21"/>
        <v>-14478692958.066143</v>
      </c>
      <c r="BY25" s="111">
        <f t="shared" si="21"/>
        <v>-15405881647.461319</v>
      </c>
      <c r="CA25" s="9">
        <f t="shared" ref="CA25:DJ25" si="22">(D24-D25)/D24</f>
        <v>0.1398373983739836</v>
      </c>
      <c r="CB25" s="9">
        <f t="shared" si="22"/>
        <v>0.13825203252032495</v>
      </c>
      <c r="CC25" s="9">
        <f t="shared" si="22"/>
        <v>0.13574891598915995</v>
      </c>
      <c r="CD25" s="9">
        <f t="shared" si="22"/>
        <v>0.13238543315266496</v>
      </c>
      <c r="CE25" s="9">
        <f t="shared" si="22"/>
        <v>0.12818125137458705</v>
      </c>
      <c r="CF25" s="9">
        <f t="shared" si="22"/>
        <v>0.12246819389632319</v>
      </c>
      <c r="CG25" s="9">
        <f t="shared" si="22"/>
        <v>0.11531164533154847</v>
      </c>
      <c r="CH25" s="9">
        <f t="shared" si="22"/>
        <v>0.10714407565986107</v>
      </c>
      <c r="CI25" s="9">
        <f t="shared" si="22"/>
        <v>9.7921219915145533E-2</v>
      </c>
      <c r="CJ25" s="9">
        <f t="shared" si="22"/>
        <v>8.7688807160553189E-2</v>
      </c>
      <c r="CK25" s="9">
        <f t="shared" si="22"/>
        <v>7.6508200042676638E-2</v>
      </c>
      <c r="CL25" s="9">
        <f t="shared" si="22"/>
        <v>6.369826476169424E-2</v>
      </c>
      <c r="CM25" s="9">
        <f t="shared" si="22"/>
        <v>4.9329605538009642E-2</v>
      </c>
      <c r="CN25" s="9">
        <f t="shared" si="22"/>
        <v>3.3733994718082617E-2</v>
      </c>
      <c r="CO25" s="9">
        <f t="shared" si="22"/>
        <v>1.6717987738294388E-2</v>
      </c>
      <c r="CP25" s="9">
        <f t="shared" si="22"/>
        <v>-1.6744800772494474E-3</v>
      </c>
      <c r="CQ25" s="9">
        <f t="shared" si="22"/>
        <v>-2.1119534450053049E-2</v>
      </c>
      <c r="CR25" s="9">
        <f t="shared" si="22"/>
        <v>-4.1835790938244424E-2</v>
      </c>
      <c r="CS25" s="9">
        <f t="shared" si="22"/>
        <v>-6.3750548940675195E-2</v>
      </c>
      <c r="CT25" s="9">
        <f t="shared" si="22"/>
        <v>-8.6582876101758618E-2</v>
      </c>
      <c r="CU25" s="9">
        <f t="shared" si="22"/>
        <v>-0.11052200838124991</v>
      </c>
      <c r="CV25" s="9">
        <f t="shared" si="22"/>
        <v>-0.13553759940017485</v>
      </c>
      <c r="CW25" s="9">
        <f t="shared" si="22"/>
        <v>-0.16131877497088123</v>
      </c>
      <c r="CX25" s="9">
        <f t="shared" si="22"/>
        <v>-0.18809658740507124</v>
      </c>
      <c r="CY25" s="9">
        <f t="shared" si="22"/>
        <v>-0.21581023392917162</v>
      </c>
      <c r="CZ25" s="9">
        <f t="shared" si="22"/>
        <v>-0.24417254926649895</v>
      </c>
      <c r="DA25" s="9">
        <f t="shared" si="22"/>
        <v>-0.27341965207741908</v>
      </c>
      <c r="DB25" s="9">
        <f t="shared" si="22"/>
        <v>-0.30351320157141071</v>
      </c>
      <c r="DC25" s="9">
        <f t="shared" si="22"/>
        <v>-0.33415229074992614</v>
      </c>
      <c r="DD25" s="9">
        <f t="shared" si="22"/>
        <v>-0.36555989202610462</v>
      </c>
      <c r="DE25" s="9">
        <f t="shared" si="22"/>
        <v>-0.39772031838517891</v>
      </c>
      <c r="DF25" s="9">
        <f t="shared" si="22"/>
        <v>-0.43033671976464261</v>
      </c>
      <c r="DG25" s="9">
        <f t="shared" si="22"/>
        <v>-0.46365356488920872</v>
      </c>
      <c r="DH25" s="9">
        <f t="shared" si="22"/>
        <v>-0.49762288602043664</v>
      </c>
      <c r="DI25" s="9">
        <f t="shared" si="22"/>
        <v>-0.53198741190805687</v>
      </c>
      <c r="DJ25" s="9">
        <f t="shared" si="22"/>
        <v>-0.56695901430261242</v>
      </c>
    </row>
    <row r="26" spans="1:114" x14ac:dyDescent="0.3">
      <c r="A26" t="s">
        <v>818</v>
      </c>
      <c r="B26" t="s">
        <v>686</v>
      </c>
      <c r="C26" t="s">
        <v>746</v>
      </c>
      <c r="D26">
        <v>0.20720447512413401</v>
      </c>
      <c r="E26">
        <v>0.210499011959277</v>
      </c>
      <c r="F26">
        <v>0.19039438268502101</v>
      </c>
      <c r="G26">
        <v>0.19549821158817199</v>
      </c>
      <c r="H26">
        <v>0.171577676640709</v>
      </c>
      <c r="I26">
        <v>0.17923196206022901</v>
      </c>
      <c r="J26">
        <v>0.175147803766495</v>
      </c>
      <c r="K26">
        <v>0.170797834049255</v>
      </c>
      <c r="L26">
        <v>0.16640812938079699</v>
      </c>
      <c r="M26">
        <v>0.162462983053203</v>
      </c>
      <c r="N26">
        <v>0.15797365631965299</v>
      </c>
      <c r="O26">
        <v>0.153877178800019</v>
      </c>
      <c r="P26">
        <v>0.15035081981443299</v>
      </c>
      <c r="Q26">
        <v>0.14725344792296899</v>
      </c>
      <c r="R26">
        <v>0.144760592607862</v>
      </c>
      <c r="S26">
        <v>0.142164252480287</v>
      </c>
      <c r="T26">
        <v>0.13955483807792099</v>
      </c>
      <c r="U26">
        <v>0.13654467560096101</v>
      </c>
      <c r="V26">
        <v>0.13405669688823799</v>
      </c>
      <c r="W26">
        <v>0.131637590628086</v>
      </c>
      <c r="X26">
        <v>0.12951605412336201</v>
      </c>
      <c r="Y26">
        <v>0.12752519262870601</v>
      </c>
      <c r="Z26">
        <v>0.12546991165904001</v>
      </c>
      <c r="AA26">
        <v>0.123541775926094</v>
      </c>
      <c r="AB26">
        <v>0.12179257172428801</v>
      </c>
      <c r="AC26">
        <v>0.12015771263548</v>
      </c>
      <c r="AD26">
        <v>0.118469641369177</v>
      </c>
      <c r="AE26">
        <v>0.116932236680684</v>
      </c>
      <c r="AF26">
        <v>0.115481172862725</v>
      </c>
      <c r="AG26">
        <v>0.11408656031962</v>
      </c>
      <c r="AH26">
        <v>0.11273399026245901</v>
      </c>
      <c r="AI26">
        <v>0.11150759262835</v>
      </c>
      <c r="AJ26">
        <v>0.110364889347993</v>
      </c>
      <c r="AK26">
        <v>0.10918038912908699</v>
      </c>
      <c r="AL26">
        <v>0.10817613393721601</v>
      </c>
      <c r="AM26">
        <v>0.107284235055445</v>
      </c>
      <c r="AO26" t="str">
        <f t="shared" si="0"/>
        <v>Baseline uncompeted_Best Commercial Rooftop AC</v>
      </c>
      <c r="AP26" s="111"/>
      <c r="AQ26" s="111"/>
      <c r="AR26" s="111"/>
      <c r="AS26" s="111"/>
      <c r="AT26" s="111"/>
      <c r="AU26" s="209"/>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row>
    <row r="27" spans="1:114" x14ac:dyDescent="0.3">
      <c r="A27" t="s">
        <v>818</v>
      </c>
      <c r="B27" t="s">
        <v>685</v>
      </c>
      <c r="C27" t="s">
        <v>746</v>
      </c>
      <c r="D27">
        <v>0.20720447512413401</v>
      </c>
      <c r="E27">
        <v>0.210499011959277</v>
      </c>
      <c r="F27">
        <v>0.16047947332363399</v>
      </c>
      <c r="G27">
        <v>0.16483168223646399</v>
      </c>
      <c r="H27">
        <v>0.14474698822814899</v>
      </c>
      <c r="I27">
        <v>0.15132923468839601</v>
      </c>
      <c r="J27">
        <v>0.14803277986883201</v>
      </c>
      <c r="K27">
        <v>0.14453097351709901</v>
      </c>
      <c r="L27">
        <v>0.141025920280404</v>
      </c>
      <c r="M27">
        <v>0.13792066840008799</v>
      </c>
      <c r="N27">
        <v>0.134369386916117</v>
      </c>
      <c r="O27">
        <v>0.131161866857569</v>
      </c>
      <c r="P27">
        <v>0.12844641148782601</v>
      </c>
      <c r="Q27">
        <v>0.126101058535324</v>
      </c>
      <c r="R27">
        <v>0.12427539928912799</v>
      </c>
      <c r="S27">
        <v>0.12236079141311799</v>
      </c>
      <c r="T27">
        <v>0.12043189067191</v>
      </c>
      <c r="U27">
        <v>0.11815074977443001</v>
      </c>
      <c r="V27">
        <v>0.11631330075299399</v>
      </c>
      <c r="W27">
        <v>0.114527044200067</v>
      </c>
      <c r="X27">
        <v>0.11299051284075699</v>
      </c>
      <c r="Y27">
        <v>0.111558615084242</v>
      </c>
      <c r="Z27">
        <v>0.110060097298277</v>
      </c>
      <c r="AA27">
        <v>0.108662181424294</v>
      </c>
      <c r="AB27">
        <v>0.107410722548263</v>
      </c>
      <c r="AC27">
        <v>0.106249311653788</v>
      </c>
      <c r="AD27">
        <v>0.105029774047649</v>
      </c>
      <c r="AE27">
        <v>0.103932544198047</v>
      </c>
      <c r="AF27">
        <v>0.102901090522401</v>
      </c>
      <c r="AG27">
        <v>0.10190910003061</v>
      </c>
      <c r="AH27">
        <v>0.100943900008755</v>
      </c>
      <c r="AI27">
        <v>0.100081178731059</v>
      </c>
      <c r="AJ27">
        <v>9.9283494377661902E-2</v>
      </c>
      <c r="AK27">
        <v>9.8438204124160697E-2</v>
      </c>
      <c r="AL27">
        <v>9.77457210282517E-2</v>
      </c>
      <c r="AM27">
        <v>9.7145666755351495E-2</v>
      </c>
      <c r="AO27" t="str">
        <f t="shared" si="0"/>
        <v>Efficient uncompeted_Best Commercial Rooftop AC</v>
      </c>
      <c r="AP27" s="111">
        <f t="shared" ref="AP27:BY27" si="23">(D26-D27)*293071083333.33</f>
        <v>0</v>
      </c>
      <c r="AQ27" s="111">
        <f t="shared" si="23"/>
        <v>0</v>
      </c>
      <c r="AR27" s="111">
        <f t="shared" si="23"/>
        <v>8767194894.3600693</v>
      </c>
      <c r="AS27" s="111">
        <f t="shared" si="23"/>
        <v>8987472979.1784248</v>
      </c>
      <c r="AT27" s="111">
        <f t="shared" si="23"/>
        <v>7863298919.6479855</v>
      </c>
      <c r="AU27" s="209">
        <f t="shared" si="23"/>
        <v>8177482538.8176565</v>
      </c>
      <c r="AV27" s="111">
        <f t="shared" si="23"/>
        <v>7946629428.297224</v>
      </c>
      <c r="AW27" s="111">
        <f t="shared" si="23"/>
        <v>7698057271.9244452</v>
      </c>
      <c r="AX27" s="111">
        <f t="shared" si="23"/>
        <v>7438791518.445281</v>
      </c>
      <c r="AY27" s="111">
        <f t="shared" si="23"/>
        <v>7192642742.8958769</v>
      </c>
      <c r="AZ27" s="111">
        <f t="shared" si="23"/>
        <v>6917728805.3860693</v>
      </c>
      <c r="BA27" s="111">
        <f t="shared" si="23"/>
        <v>6657201079.2283487</v>
      </c>
      <c r="BB27" s="111">
        <f t="shared" si="23"/>
        <v>6419548678.0543213</v>
      </c>
      <c r="BC27" s="111">
        <f t="shared" si="23"/>
        <v>6199153672.9255514</v>
      </c>
      <c r="BD27" s="111">
        <f t="shared" si="23"/>
        <v>6003617798.2140703</v>
      </c>
      <c r="BE27" s="111">
        <f t="shared" si="23"/>
        <v>5803821788.7046432</v>
      </c>
      <c r="BF27" s="111">
        <f t="shared" si="23"/>
        <v>5604382912.805934</v>
      </c>
      <c r="BG27" s="111">
        <f t="shared" si="23"/>
        <v>5390727768.7343588</v>
      </c>
      <c r="BH27" s="111">
        <f t="shared" si="23"/>
        <v>5200076327.3683777</v>
      </c>
      <c r="BI27" s="111">
        <f t="shared" si="23"/>
        <v>5014606378.0847683</v>
      </c>
      <c r="BJ27" s="111">
        <f t="shared" si="23"/>
        <v>4843158286.3627195</v>
      </c>
      <c r="BK27" s="111">
        <f t="shared" si="23"/>
        <v>4679342178.0816879</v>
      </c>
      <c r="BL27" s="111">
        <f t="shared" si="23"/>
        <v>4516170988.6743221</v>
      </c>
      <c r="BM27" s="111">
        <f t="shared" si="23"/>
        <v>4360778880.203187</v>
      </c>
      <c r="BN27" s="111">
        <f t="shared" si="23"/>
        <v>4214904118.354207</v>
      </c>
      <c r="BO27" s="111">
        <f t="shared" si="23"/>
        <v>4076150143.1388273</v>
      </c>
      <c r="BP27" s="111">
        <f t="shared" si="23"/>
        <v>3938836475.7764292</v>
      </c>
      <c r="BQ27" s="111">
        <f t="shared" si="23"/>
        <v>3809833958.8865743</v>
      </c>
      <c r="BR27" s="111">
        <f t="shared" si="23"/>
        <v>3686858359.9012475</v>
      </c>
      <c r="BS27" s="111">
        <f t="shared" si="23"/>
        <v>3568861479.148766</v>
      </c>
      <c r="BT27" s="111">
        <f t="shared" si="23"/>
        <v>3455334523.2507687</v>
      </c>
      <c r="BU27" s="111">
        <f t="shared" si="23"/>
        <v>3348751499.4940915</v>
      </c>
      <c r="BV27" s="111">
        <f t="shared" si="23"/>
        <v>3247636428.7994504</v>
      </c>
      <c r="BW27" s="111">
        <f t="shared" si="23"/>
        <v>3148223796.7608027</v>
      </c>
      <c r="BX27" s="111">
        <f t="shared" si="23"/>
        <v>3056852410.8441195</v>
      </c>
      <c r="BY27" s="111">
        <f t="shared" si="23"/>
        <v>2971321195.157362</v>
      </c>
      <c r="CA27" s="9">
        <f t="shared" ref="CA27:DJ27" si="24">(D26-D27)/D26</f>
        <v>0</v>
      </c>
      <c r="CB27" s="9">
        <f t="shared" si="24"/>
        <v>0</v>
      </c>
      <c r="CC27" s="9">
        <f t="shared" si="24"/>
        <v>0.15712075608279241</v>
      </c>
      <c r="CD27" s="9">
        <f t="shared" si="24"/>
        <v>0.15686347768903772</v>
      </c>
      <c r="CE27" s="9">
        <f t="shared" si="24"/>
        <v>0.15637633600054288</v>
      </c>
      <c r="CF27" s="9">
        <f t="shared" si="24"/>
        <v>0.15567941705875304</v>
      </c>
      <c r="CG27" s="9">
        <f t="shared" si="24"/>
        <v>0.15481224037392111</v>
      </c>
      <c r="CH27" s="9">
        <f t="shared" si="24"/>
        <v>0.15378918988270721</v>
      </c>
      <c r="CI27" s="9">
        <f t="shared" si="24"/>
        <v>0.15252986254241266</v>
      </c>
      <c r="CJ27" s="9">
        <f t="shared" si="24"/>
        <v>0.15106404050871056</v>
      </c>
      <c r="CK27" s="9">
        <f t="shared" si="24"/>
        <v>0.14941902310454697</v>
      </c>
      <c r="CL27" s="9">
        <f t="shared" si="24"/>
        <v>0.14761975830068436</v>
      </c>
      <c r="CM27" s="9">
        <f t="shared" si="24"/>
        <v>0.14568865240403733</v>
      </c>
      <c r="CN27" s="9">
        <f t="shared" si="24"/>
        <v>0.143646139944446</v>
      </c>
      <c r="CO27" s="9">
        <f t="shared" si="24"/>
        <v>0.141510841795362</v>
      </c>
      <c r="CP27" s="9">
        <f t="shared" si="24"/>
        <v>0.13929986421808127</v>
      </c>
      <c r="CQ27" s="9">
        <f t="shared" si="24"/>
        <v>0.13702819385834275</v>
      </c>
      <c r="CR27" s="9">
        <f t="shared" si="24"/>
        <v>0.13470994563190089</v>
      </c>
      <c r="CS27" s="9">
        <f t="shared" si="24"/>
        <v>0.13235740210753158</v>
      </c>
      <c r="CT27" s="9">
        <f t="shared" si="24"/>
        <v>0.12998222123619085</v>
      </c>
      <c r="CU27" s="9">
        <f t="shared" si="24"/>
        <v>0.12759453949133359</v>
      </c>
      <c r="CV27" s="9">
        <f t="shared" si="24"/>
        <v>0.12520332034275966</v>
      </c>
      <c r="CW27" s="9">
        <f t="shared" si="24"/>
        <v>0.12281681047675103</v>
      </c>
      <c r="CX27" s="9">
        <f t="shared" si="24"/>
        <v>0.12044180513238997</v>
      </c>
      <c r="CY27" s="9">
        <f t="shared" si="24"/>
        <v>0.11808478113576903</v>
      </c>
      <c r="CZ27" s="9">
        <f t="shared" si="24"/>
        <v>0.1157512129403265</v>
      </c>
      <c r="DA27" s="9">
        <f t="shared" si="24"/>
        <v>0.11344566562539396</v>
      </c>
      <c r="DB27" s="9">
        <f t="shared" si="24"/>
        <v>0.11117287115730355</v>
      </c>
      <c r="DC27" s="9">
        <f t="shared" si="24"/>
        <v>0.10893621902574732</v>
      </c>
      <c r="DD27" s="9">
        <f t="shared" si="24"/>
        <v>0.10673878022875043</v>
      </c>
      <c r="DE27" s="9">
        <f t="shared" si="24"/>
        <v>0.10458327808902339</v>
      </c>
      <c r="DF27" s="9">
        <f t="shared" si="24"/>
        <v>0.10247207053760676</v>
      </c>
      <c r="DG27" s="9">
        <f t="shared" si="24"/>
        <v>0.10040688697100222</v>
      </c>
      <c r="DH27" s="9">
        <f t="shared" si="24"/>
        <v>9.8389326971765181E-2</v>
      </c>
      <c r="DI27" s="9">
        <f t="shared" si="24"/>
        <v>9.6420647783715216E-2</v>
      </c>
      <c r="DJ27" s="9">
        <f t="shared" si="24"/>
        <v>9.4501939589296091E-2</v>
      </c>
    </row>
    <row r="28" spans="1:114" x14ac:dyDescent="0.3">
      <c r="A28" t="s">
        <v>817</v>
      </c>
      <c r="B28" t="s">
        <v>686</v>
      </c>
      <c r="C28" t="s">
        <v>679</v>
      </c>
      <c r="D28">
        <v>0.14862964265690001</v>
      </c>
      <c r="E28">
        <v>0.13710132646236001</v>
      </c>
      <c r="F28">
        <v>0.12559792445704801</v>
      </c>
      <c r="G28">
        <v>0.16009420272279101</v>
      </c>
      <c r="H28">
        <v>0.15552766527022299</v>
      </c>
      <c r="I28">
        <v>0.14933902012435599</v>
      </c>
      <c r="J28">
        <v>0.14860335348895501</v>
      </c>
      <c r="K28">
        <v>0.147672765247611</v>
      </c>
      <c r="L28">
        <v>0.146610968755574</v>
      </c>
      <c r="M28">
        <v>0.14537769541395801</v>
      </c>
      <c r="N28">
        <v>0.14407341573891</v>
      </c>
      <c r="O28">
        <v>0.14302293716476799</v>
      </c>
      <c r="P28">
        <v>0.14237805295307401</v>
      </c>
      <c r="Q28">
        <v>0.14184372877211801</v>
      </c>
      <c r="R28">
        <v>0.14148082372419199</v>
      </c>
      <c r="S28">
        <v>0.14105649412812399</v>
      </c>
      <c r="T28">
        <v>0.14066941409286099</v>
      </c>
      <c r="U28">
        <v>0.14014591542089899</v>
      </c>
      <c r="V28">
        <v>0.139602989355571</v>
      </c>
      <c r="W28">
        <v>0.13911870089172701</v>
      </c>
      <c r="X28">
        <v>0.138695212567539</v>
      </c>
      <c r="Y28">
        <v>0.13824273553194499</v>
      </c>
      <c r="Z28">
        <v>0.13779047153160501</v>
      </c>
      <c r="AA28">
        <v>0.13741839395099201</v>
      </c>
      <c r="AB28">
        <v>0.13710034995422299</v>
      </c>
      <c r="AC28">
        <v>0.136764069554378</v>
      </c>
      <c r="AD28">
        <v>0.136404976551286</v>
      </c>
      <c r="AE28">
        <v>0.13608666670111499</v>
      </c>
      <c r="AF28">
        <v>0.13573321138295</v>
      </c>
      <c r="AG28">
        <v>0.135377485301057</v>
      </c>
      <c r="AH28">
        <v>0.13501169881644801</v>
      </c>
      <c r="AI28">
        <v>0.13466794196814</v>
      </c>
      <c r="AJ28">
        <v>0.13429670635323099</v>
      </c>
      <c r="AK28">
        <v>0.133920986171742</v>
      </c>
      <c r="AL28">
        <v>0.13349867558104</v>
      </c>
      <c r="AM28">
        <v>0.133114190682317</v>
      </c>
      <c r="AO28" t="str">
        <f t="shared" si="0"/>
        <v>Baseline uncompeted_Best Commercial Walls</v>
      </c>
      <c r="AP28" s="111"/>
      <c r="AQ28" s="111"/>
      <c r="AR28" s="111"/>
      <c r="AS28" s="111"/>
      <c r="AT28" s="111"/>
      <c r="AU28" s="209"/>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row>
    <row r="29" spans="1:114" x14ac:dyDescent="0.3">
      <c r="A29" t="s">
        <v>817</v>
      </c>
      <c r="B29" t="s">
        <v>685</v>
      </c>
      <c r="C29" t="s">
        <v>679</v>
      </c>
      <c r="D29">
        <v>3.4776546861929297E-2</v>
      </c>
      <c r="E29">
        <v>3.2915436536986899E-2</v>
      </c>
      <c r="F29">
        <v>3.0927045973674998E-2</v>
      </c>
      <c r="G29">
        <v>4.0433253640490802E-2</v>
      </c>
      <c r="H29">
        <v>4.0280671681936199E-2</v>
      </c>
      <c r="I29">
        <v>3.9584906483144298E-2</v>
      </c>
      <c r="J29">
        <v>4.0279623414072402E-2</v>
      </c>
      <c r="K29">
        <v>4.0898758498274297E-2</v>
      </c>
      <c r="L29">
        <v>4.14611681478338E-2</v>
      </c>
      <c r="M29">
        <v>4.1958747716804599E-2</v>
      </c>
      <c r="N29">
        <v>4.2429094166106497E-2</v>
      </c>
      <c r="O29">
        <v>4.2984858886248402E-2</v>
      </c>
      <c r="P29">
        <v>4.3679846899331402E-2</v>
      </c>
      <c r="Q29">
        <v>4.4428401063005503E-2</v>
      </c>
      <c r="R29">
        <v>4.5254989528758199E-2</v>
      </c>
      <c r="S29">
        <v>4.6088541868308901E-2</v>
      </c>
      <c r="T29">
        <v>4.6960872812149397E-2</v>
      </c>
      <c r="U29">
        <v>4.7815637814437803E-2</v>
      </c>
      <c r="V29">
        <v>4.8693009296759397E-2</v>
      </c>
      <c r="W29">
        <v>4.96166668865681E-2</v>
      </c>
      <c r="X29">
        <v>5.0591029044403997E-2</v>
      </c>
      <c r="Y29">
        <v>5.1587206645148098E-2</v>
      </c>
      <c r="Z29">
        <v>5.26137943056421E-2</v>
      </c>
      <c r="AA29">
        <v>5.3709450390508597E-2</v>
      </c>
      <c r="AB29">
        <v>5.4868015725547899E-2</v>
      </c>
      <c r="AC29">
        <v>5.6059670585457501E-2</v>
      </c>
      <c r="AD29">
        <v>5.7284993830302E-2</v>
      </c>
      <c r="AE29">
        <v>5.85721485780136E-2</v>
      </c>
      <c r="AF29">
        <v>5.9884833972633299E-2</v>
      </c>
      <c r="AG29">
        <v>6.1241713114343302E-2</v>
      </c>
      <c r="AH29">
        <v>6.26410677246E-2</v>
      </c>
      <c r="AI29">
        <v>6.4092760795711898E-2</v>
      </c>
      <c r="AJ29">
        <v>6.5578856761934104E-2</v>
      </c>
      <c r="AK29">
        <v>6.7109379705068001E-2</v>
      </c>
      <c r="AL29">
        <v>6.8656960910982695E-2</v>
      </c>
      <c r="AM29">
        <v>7.0268448979295697E-2</v>
      </c>
      <c r="AO29" t="str">
        <f t="shared" si="0"/>
        <v>Efficient uncompeted_Best Commercial Walls</v>
      </c>
      <c r="AP29" s="111">
        <f t="shared" ref="AP29:BY29" si="25">(D28-D29)*293071083333.33</f>
        <v>33367050125.48547</v>
      </c>
      <c r="AQ29" s="111">
        <f t="shared" si="25"/>
        <v>30533871628.476173</v>
      </c>
      <c r="AR29" s="111">
        <f t="shared" si="25"/>
        <v>27745296917.24017</v>
      </c>
      <c r="AS29" s="111">
        <f t="shared" si="25"/>
        <v>35069163980.244164</v>
      </c>
      <c r="AT29" s="111">
        <f t="shared" si="25"/>
        <v>33775561261.828552</v>
      </c>
      <c r="AU29" s="209">
        <f t="shared" si="25"/>
        <v>32165756985.11932</v>
      </c>
      <c r="AV29" s="111">
        <f t="shared" si="25"/>
        <v>31746552923.753067</v>
      </c>
      <c r="AW29" s="111">
        <f t="shared" si="25"/>
        <v>31292373829.868401</v>
      </c>
      <c r="AX29" s="111">
        <f t="shared" si="25"/>
        <v>30816365976.394066</v>
      </c>
      <c r="AY29" s="111">
        <f t="shared" si="25"/>
        <v>30309103038.797745</v>
      </c>
      <c r="AZ29" s="111">
        <f t="shared" si="25"/>
        <v>29789011438.022892</v>
      </c>
      <c r="BA29" s="111">
        <f t="shared" si="25"/>
        <v>29318267975.670208</v>
      </c>
      <c r="BB29" s="111">
        <f t="shared" si="25"/>
        <v>28925590171.226578</v>
      </c>
      <c r="BC29" s="111">
        <f t="shared" si="25"/>
        <v>28549615624.980965</v>
      </c>
      <c r="BD29" s="111">
        <f t="shared" si="25"/>
        <v>28201009472.309174</v>
      </c>
      <c r="BE29" s="111">
        <f t="shared" si="25"/>
        <v>27832360650.731972</v>
      </c>
      <c r="BF29" s="111">
        <f t="shared" si="25"/>
        <v>27463263710.724224</v>
      </c>
      <c r="BG29" s="111">
        <f t="shared" si="25"/>
        <v>27059334482.592682</v>
      </c>
      <c r="BH29" s="111">
        <f t="shared" si="25"/>
        <v>26643086341.647343</v>
      </c>
      <c r="BI29" s="111">
        <f t="shared" si="25"/>
        <v>26230458066.428463</v>
      </c>
      <c r="BJ29" s="111">
        <f t="shared" si="25"/>
        <v>25820788511.323704</v>
      </c>
      <c r="BK29" s="111">
        <f t="shared" si="25"/>
        <v>25396229727.676239</v>
      </c>
      <c r="BL29" s="111">
        <f t="shared" si="25"/>
        <v>24962821069.346329</v>
      </c>
      <c r="BM29" s="111">
        <f t="shared" si="25"/>
        <v>24532670773.959454</v>
      </c>
      <c r="BN29" s="111">
        <f t="shared" si="25"/>
        <v>24099919277.426285</v>
      </c>
      <c r="BO29" s="111">
        <f t="shared" si="25"/>
        <v>23652125635.586815</v>
      </c>
      <c r="BP29" s="111">
        <f t="shared" si="25"/>
        <v>23187779049.353134</v>
      </c>
      <c r="BQ29" s="111">
        <f t="shared" si="25"/>
        <v>22717263800.398369</v>
      </c>
      <c r="BR29" s="111">
        <f t="shared" si="25"/>
        <v>22228966136.716789</v>
      </c>
      <c r="BS29" s="111">
        <f t="shared" si="25"/>
        <v>21727051068.513142</v>
      </c>
      <c r="BT29" s="111">
        <f t="shared" si="25"/>
        <v>21209739255.604671</v>
      </c>
      <c r="BU29" s="111">
        <f t="shared" si="25"/>
        <v>20683544802.64954</v>
      </c>
      <c r="BV29" s="111">
        <f t="shared" si="25"/>
        <v>20139214624.058208</v>
      </c>
      <c r="BW29" s="111">
        <f t="shared" si="25"/>
        <v>19580549886.428268</v>
      </c>
      <c r="BX29" s="111">
        <f t="shared" si="25"/>
        <v>19003231563.544373</v>
      </c>
      <c r="BY29" s="111">
        <f t="shared" si="25"/>
        <v>18418269603.791092</v>
      </c>
      <c r="CA29" s="9">
        <f t="shared" ref="CA29:DJ29" si="26">(D28-D29)/D28</f>
        <v>0.76601876826005522</v>
      </c>
      <c r="CB29" s="9">
        <f t="shared" si="26"/>
        <v>0.75991890533587547</v>
      </c>
      <c r="CC29" s="9">
        <f t="shared" si="26"/>
        <v>0.75376148843724378</v>
      </c>
      <c r="CD29" s="9">
        <f t="shared" si="26"/>
        <v>0.74744086323661285</v>
      </c>
      <c r="CE29" s="9">
        <f t="shared" si="26"/>
        <v>0.74100638872222402</v>
      </c>
      <c r="CF29" s="9">
        <f t="shared" si="26"/>
        <v>0.73493259531111432</v>
      </c>
      <c r="CG29" s="9">
        <f t="shared" si="26"/>
        <v>0.7289453941087124</v>
      </c>
      <c r="CH29" s="9">
        <f t="shared" si="26"/>
        <v>0.72304467631728098</v>
      </c>
      <c r="CI29" s="9">
        <f t="shared" si="26"/>
        <v>0.71720282254626677</v>
      </c>
      <c r="CJ29" s="9">
        <f t="shared" si="26"/>
        <v>0.71138111938472737</v>
      </c>
      <c r="CK29" s="9">
        <f t="shared" si="26"/>
        <v>0.70550365625399947</v>
      </c>
      <c r="CL29" s="9">
        <f t="shared" si="26"/>
        <v>0.69945478859290822</v>
      </c>
      <c r="CM29" s="9">
        <f t="shared" si="26"/>
        <v>0.69321221920538745</v>
      </c>
      <c r="CN29" s="9">
        <f t="shared" si="26"/>
        <v>0.68677923622282333</v>
      </c>
      <c r="CO29" s="9">
        <f t="shared" si="26"/>
        <v>0.68013340368317354</v>
      </c>
      <c r="CP29" s="9">
        <f t="shared" si="26"/>
        <v>0.67326182212889885</v>
      </c>
      <c r="CQ29" s="9">
        <f t="shared" si="26"/>
        <v>0.66616145297122786</v>
      </c>
      <c r="CR29" s="9">
        <f t="shared" si="26"/>
        <v>0.65881533064425379</v>
      </c>
      <c r="CS29" s="9">
        <f t="shared" si="26"/>
        <v>0.6512036775033696</v>
      </c>
      <c r="CT29" s="9">
        <f t="shared" si="26"/>
        <v>0.64335012785100942</v>
      </c>
      <c r="CU29" s="9">
        <f t="shared" si="26"/>
        <v>0.63523593851685267</v>
      </c>
      <c r="CV29" s="9">
        <f t="shared" si="26"/>
        <v>0.62683603990730219</v>
      </c>
      <c r="CW29" s="9">
        <f t="shared" si="26"/>
        <v>0.61816086612655163</v>
      </c>
      <c r="CX29" s="9">
        <f t="shared" si="26"/>
        <v>0.60915384872229572</v>
      </c>
      <c r="CY29" s="9">
        <f t="shared" si="26"/>
        <v>0.5997966763478868</v>
      </c>
      <c r="CZ29" s="9">
        <f t="shared" si="26"/>
        <v>0.59009942620076894</v>
      </c>
      <c r="DA29" s="9">
        <f t="shared" si="26"/>
        <v>0.58003736169578979</v>
      </c>
      <c r="DB29" s="9">
        <f t="shared" si="26"/>
        <v>0.56959671363944353</v>
      </c>
      <c r="DC29" s="9">
        <f t="shared" si="26"/>
        <v>0.55880485429849869</v>
      </c>
      <c r="DD29" s="9">
        <f t="shared" si="26"/>
        <v>0.54762261259210188</v>
      </c>
      <c r="DE29" s="9">
        <f t="shared" si="26"/>
        <v>0.53603229739548575</v>
      </c>
      <c r="DF29" s="9">
        <f t="shared" si="26"/>
        <v>0.52406816456083449</v>
      </c>
      <c r="DG29" s="9">
        <f t="shared" si="26"/>
        <v>0.51168678262706802</v>
      </c>
      <c r="DH29" s="9">
        <f t="shared" si="26"/>
        <v>0.49888825027762218</v>
      </c>
      <c r="DI29" s="9">
        <f t="shared" si="26"/>
        <v>0.48571054647426315</v>
      </c>
      <c r="DJ29" s="9">
        <f t="shared" si="26"/>
        <v>0.4721190233805011</v>
      </c>
    </row>
    <row r="30" spans="1:114" x14ac:dyDescent="0.3">
      <c r="A30" t="s">
        <v>789</v>
      </c>
      <c r="B30" t="s">
        <v>686</v>
      </c>
      <c r="C30" t="s">
        <v>696</v>
      </c>
      <c r="D30">
        <v>3.1669693617076999E-2</v>
      </c>
      <c r="E30">
        <v>3.4015696536476098E-2</v>
      </c>
      <c r="F30">
        <v>3.3456238819222599E-2</v>
      </c>
      <c r="G30">
        <v>3.6226973781564101E-2</v>
      </c>
      <c r="H30">
        <v>3.3404067623626202E-2</v>
      </c>
      <c r="I30">
        <v>3.4081845421319701E-2</v>
      </c>
      <c r="J30">
        <v>3.3635169862073599E-2</v>
      </c>
      <c r="K30">
        <v>3.3196007346742398E-2</v>
      </c>
      <c r="L30">
        <v>3.2652821025963598E-2</v>
      </c>
      <c r="M30">
        <v>3.2182684288519198E-2</v>
      </c>
      <c r="N30">
        <v>3.1605543767512199E-2</v>
      </c>
      <c r="O30">
        <v>3.1096779250371499E-2</v>
      </c>
      <c r="P30">
        <v>3.0680878083518E-2</v>
      </c>
      <c r="Q30">
        <v>3.0338048810597599E-2</v>
      </c>
      <c r="R30">
        <v>3.0116159202241002E-2</v>
      </c>
      <c r="S30">
        <v>2.98925854532523E-2</v>
      </c>
      <c r="T30">
        <v>2.9657971768477401E-2</v>
      </c>
      <c r="U30">
        <v>2.9319208423203302E-2</v>
      </c>
      <c r="V30">
        <v>2.9113281122357199E-2</v>
      </c>
      <c r="W30">
        <v>2.8892100265992801E-2</v>
      </c>
      <c r="X30">
        <v>2.8739435034200098E-2</v>
      </c>
      <c r="Y30">
        <v>2.8608374093379199E-2</v>
      </c>
      <c r="Z30">
        <v>2.84312989183493E-2</v>
      </c>
      <c r="AA30">
        <v>2.8270860520408302E-2</v>
      </c>
      <c r="AB30">
        <v>2.8141680825128499E-2</v>
      </c>
      <c r="AC30">
        <v>2.8043880718524102E-2</v>
      </c>
      <c r="AD30">
        <v>2.7912675017842999E-2</v>
      </c>
      <c r="AE30">
        <v>2.7805408812410299E-2</v>
      </c>
      <c r="AF30">
        <v>2.77158065290968E-2</v>
      </c>
      <c r="AG30">
        <v>2.7625478646880201E-2</v>
      </c>
      <c r="AH30">
        <v>2.75449046733202E-2</v>
      </c>
      <c r="AI30">
        <v>2.7473194607575201E-2</v>
      </c>
      <c r="AJ30">
        <v>2.7417200052972001E-2</v>
      </c>
      <c r="AK30">
        <v>2.7341737834853101E-2</v>
      </c>
      <c r="AL30">
        <v>2.7295845000315001E-2</v>
      </c>
      <c r="AM30">
        <v>2.7257941178943298E-2</v>
      </c>
      <c r="AO30" t="str">
        <f t="shared" si="0"/>
        <v>Baseline uncompeted_Best Rooftop Heat Pump</v>
      </c>
      <c r="AP30" s="111"/>
      <c r="AQ30" s="111"/>
      <c r="AR30" s="111"/>
      <c r="AS30" s="111"/>
      <c r="AT30" s="111"/>
      <c r="AU30" s="209"/>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row>
    <row r="31" spans="1:114" x14ac:dyDescent="0.3">
      <c r="A31" t="s">
        <v>789</v>
      </c>
      <c r="B31" t="s">
        <v>685</v>
      </c>
      <c r="C31" t="s">
        <v>696</v>
      </c>
      <c r="D31">
        <v>3.1669693617076999E-2</v>
      </c>
      <c r="E31">
        <v>3.4015696536476098E-2</v>
      </c>
      <c r="F31">
        <v>2.81262749145904E-2</v>
      </c>
      <c r="G31">
        <v>3.0604481487790599E-2</v>
      </c>
      <c r="H31">
        <v>2.82629807618026E-2</v>
      </c>
      <c r="I31">
        <v>2.8764222752613901E-2</v>
      </c>
      <c r="J31">
        <v>2.8384537034379102E-2</v>
      </c>
      <c r="K31">
        <v>2.80131401569866E-2</v>
      </c>
      <c r="L31">
        <v>2.7560302794862299E-2</v>
      </c>
      <c r="M31">
        <v>2.7172276892260799E-2</v>
      </c>
      <c r="N31">
        <v>2.6696613789180298E-2</v>
      </c>
      <c r="O31">
        <v>2.6279966695244E-2</v>
      </c>
      <c r="P31">
        <v>2.59437527399905E-2</v>
      </c>
      <c r="Q31">
        <v>2.5670688757846401E-2</v>
      </c>
      <c r="R31">
        <v>2.5501285686189399E-2</v>
      </c>
      <c r="S31">
        <v>2.5331085550550501E-2</v>
      </c>
      <c r="T31">
        <v>2.5152455782268601E-2</v>
      </c>
      <c r="U31">
        <v>2.4886617627350598E-2</v>
      </c>
      <c r="V31">
        <v>2.4733879990143998E-2</v>
      </c>
      <c r="W31">
        <v>2.4568648894939201E-2</v>
      </c>
      <c r="X31">
        <v>2.4462075010760899E-2</v>
      </c>
      <c r="Y31">
        <v>2.4374335815492799E-2</v>
      </c>
      <c r="Z31">
        <v>2.4247518860430001E-2</v>
      </c>
      <c r="AA31">
        <v>2.4134976785594901E-2</v>
      </c>
      <c r="AB31">
        <v>2.4049185921839199E-2</v>
      </c>
      <c r="AC31">
        <v>2.3990149384016501E-2</v>
      </c>
      <c r="AD31">
        <v>2.3902290600391399E-2</v>
      </c>
      <c r="AE31">
        <v>2.3834720165836099E-2</v>
      </c>
      <c r="AF31">
        <v>2.3782024595438E-2</v>
      </c>
      <c r="AG31">
        <v>2.37284904387371E-2</v>
      </c>
      <c r="AH31">
        <v>2.3683049658791401E-2</v>
      </c>
      <c r="AI31">
        <v>2.3644760136371901E-2</v>
      </c>
      <c r="AJ31">
        <v>2.3619589024542E-2</v>
      </c>
      <c r="AK31">
        <v>2.3577325918736701E-2</v>
      </c>
      <c r="AL31">
        <v>2.3560081633963701E-2</v>
      </c>
      <c r="AM31">
        <v>2.3549203248647101E-2</v>
      </c>
      <c r="AO31" t="str">
        <f t="shared" si="0"/>
        <v>Efficient uncompeted_Best Rooftop Heat Pump</v>
      </c>
      <c r="AP31" s="111">
        <f t="shared" ref="AP31:BY31" si="27">(D30-D31)*293071083333.33</f>
        <v>0</v>
      </c>
      <c r="AQ31" s="111">
        <f t="shared" si="27"/>
        <v>0</v>
      </c>
      <c r="AR31" s="111">
        <f t="shared" si="27"/>
        <v>1562058295.6581042</v>
      </c>
      <c r="AS31" s="111">
        <f t="shared" si="27"/>
        <v>1647789907.5694997</v>
      </c>
      <c r="AT31" s="111">
        <f t="shared" si="27"/>
        <v>1506703896.1053929</v>
      </c>
      <c r="AU31" s="209">
        <f t="shared" si="27"/>
        <v>1558441436.2754822</v>
      </c>
      <c r="AV31" s="111">
        <f t="shared" si="27"/>
        <v>1538808650.9979725</v>
      </c>
      <c r="AW31" s="111">
        <f t="shared" si="27"/>
        <v>1518948502.0745037</v>
      </c>
      <c r="AX31" s="111">
        <f t="shared" si="27"/>
        <v>1492469834.8835909</v>
      </c>
      <c r="AY31" s="111">
        <f t="shared" si="27"/>
        <v>1468405523.5627782</v>
      </c>
      <c r="AZ31" s="111">
        <f t="shared" si="27"/>
        <v>1438665426.7571905</v>
      </c>
      <c r="BA31" s="111">
        <f t="shared" si="27"/>
        <v>1411668473.7448018</v>
      </c>
      <c r="BB31" s="111">
        <f t="shared" si="27"/>
        <v>1388314456.3133774</v>
      </c>
      <c r="BC31" s="111">
        <f t="shared" si="27"/>
        <v>1367868266.966502</v>
      </c>
      <c r="BD31" s="111">
        <f t="shared" si="27"/>
        <v>1352485980.795537</v>
      </c>
      <c r="BE31" s="111">
        <f t="shared" si="27"/>
        <v>1336843718.1096957</v>
      </c>
      <c r="BF31" s="111">
        <f t="shared" si="27"/>
        <v>1320436451.0538499</v>
      </c>
      <c r="BG31" s="111">
        <f t="shared" si="27"/>
        <v>1299064186.5138993</v>
      </c>
      <c r="BH31" s="111">
        <f t="shared" si="27"/>
        <v>1283475834.1689346</v>
      </c>
      <c r="BI31" s="111">
        <f t="shared" si="27"/>
        <v>1267078577.0536494</v>
      </c>
      <c r="BJ31" s="111">
        <f t="shared" si="27"/>
        <v>1253570535.876004</v>
      </c>
      <c r="BK31" s="111">
        <f t="shared" si="27"/>
        <v>1240874184.9749544</v>
      </c>
      <c r="BL31" s="111">
        <f t="shared" si="27"/>
        <v>1226144954.0027912</v>
      </c>
      <c r="BM31" s="111">
        <f t="shared" si="27"/>
        <v>1212107926.7024624</v>
      </c>
      <c r="BN31" s="111">
        <f t="shared" si="27"/>
        <v>1199391914.8431268</v>
      </c>
      <c r="BO31" s="111">
        <f t="shared" si="27"/>
        <v>1188031433.746408</v>
      </c>
      <c r="BP31" s="111">
        <f t="shared" si="27"/>
        <v>1175327705.8056459</v>
      </c>
      <c r="BQ31" s="111">
        <f t="shared" si="27"/>
        <v>1163694023.230855</v>
      </c>
      <c r="BR31" s="111">
        <f t="shared" si="27"/>
        <v>1152877732.8944664</v>
      </c>
      <c r="BS31" s="111">
        <f t="shared" si="27"/>
        <v>1142094555.897711</v>
      </c>
      <c r="BT31" s="111">
        <f t="shared" si="27"/>
        <v>1131798032.7842081</v>
      </c>
      <c r="BU31" s="111">
        <f t="shared" si="27"/>
        <v>1122003437.9462159</v>
      </c>
      <c r="BV31" s="111">
        <f t="shared" si="27"/>
        <v>1112969978.1805818</v>
      </c>
      <c r="BW31" s="111">
        <f t="shared" si="27"/>
        <v>1103240278.3691301</v>
      </c>
      <c r="BX31" s="111">
        <f t="shared" si="27"/>
        <v>1094844216.8535433</v>
      </c>
      <c r="BY31" s="111">
        <f t="shared" si="27"/>
        <v>1086923843.0313189</v>
      </c>
      <c r="CA31" s="9">
        <f t="shared" ref="CA31:DJ31" si="28">(D30-D31)/D30</f>
        <v>0</v>
      </c>
      <c r="CB31" s="9">
        <f t="shared" si="28"/>
        <v>0</v>
      </c>
      <c r="CC31" s="9">
        <f t="shared" si="28"/>
        <v>0.15931150938490485</v>
      </c>
      <c r="CD31" s="9">
        <f t="shared" si="28"/>
        <v>0.15520182082210762</v>
      </c>
      <c r="CE31" s="9">
        <f t="shared" si="28"/>
        <v>0.1539060128769284</v>
      </c>
      <c r="CF31" s="9">
        <f t="shared" si="28"/>
        <v>0.15602508030211862</v>
      </c>
      <c r="CG31" s="9">
        <f t="shared" si="28"/>
        <v>0.15610543515093156</v>
      </c>
      <c r="CH31" s="9">
        <f t="shared" si="28"/>
        <v>0.15612923372438059</v>
      </c>
      <c r="CI31" s="9">
        <f t="shared" si="28"/>
        <v>0.15595951807814792</v>
      </c>
      <c r="CJ31" s="9">
        <f t="shared" si="28"/>
        <v>0.15568643533087151</v>
      </c>
      <c r="CK31" s="9">
        <f t="shared" si="28"/>
        <v>0.15531863695943943</v>
      </c>
      <c r="CL31" s="9">
        <f t="shared" si="28"/>
        <v>0.15489747399065307</v>
      </c>
      <c r="CM31" s="9">
        <f t="shared" si="28"/>
        <v>0.15439992723260157</v>
      </c>
      <c r="CN31" s="9">
        <f t="shared" si="28"/>
        <v>0.15384509669325896</v>
      </c>
      <c r="CO31" s="9">
        <f t="shared" si="28"/>
        <v>0.15323579228881887</v>
      </c>
      <c r="CP31" s="9">
        <f t="shared" si="28"/>
        <v>0.15259636573876581</v>
      </c>
      <c r="CQ31" s="9">
        <f t="shared" si="28"/>
        <v>0.15191584985584156</v>
      </c>
      <c r="CR31" s="9">
        <f t="shared" si="28"/>
        <v>0.1511838495729898</v>
      </c>
      <c r="CS31" s="9">
        <f t="shared" si="28"/>
        <v>0.15042623034509467</v>
      </c>
      <c r="CT31" s="9">
        <f t="shared" si="28"/>
        <v>0.14964129749135896</v>
      </c>
      <c r="CU31" s="9">
        <f t="shared" si="28"/>
        <v>0.14883243245210337</v>
      </c>
      <c r="CV31" s="9">
        <f t="shared" si="28"/>
        <v>0.14799996197149418</v>
      </c>
      <c r="CW31" s="9">
        <f t="shared" si="28"/>
        <v>0.1471540245113151</v>
      </c>
      <c r="CX31" s="9">
        <f t="shared" si="28"/>
        <v>0.14629493615264275</v>
      </c>
      <c r="CY31" s="9">
        <f t="shared" si="28"/>
        <v>0.14542467909859158</v>
      </c>
      <c r="CZ31" s="9">
        <f t="shared" si="28"/>
        <v>0.14454958552972125</v>
      </c>
      <c r="DA31" s="9">
        <f t="shared" si="28"/>
        <v>0.14367610466886413</v>
      </c>
      <c r="DB31" s="9">
        <f t="shared" si="28"/>
        <v>0.14280274292539716</v>
      </c>
      <c r="DC31" s="9">
        <f t="shared" si="28"/>
        <v>0.14193279670678211</v>
      </c>
      <c r="DD31" s="9">
        <f t="shared" si="28"/>
        <v>0.14106500227402197</v>
      </c>
      <c r="DE31" s="9">
        <f t="shared" si="28"/>
        <v>0.14020215572825578</v>
      </c>
      <c r="DF31" s="9">
        <f t="shared" si="28"/>
        <v>0.13935163077641083</v>
      </c>
      <c r="DG31" s="9">
        <f t="shared" si="28"/>
        <v>0.1385119932412042</v>
      </c>
      <c r="DH31" s="9">
        <f t="shared" si="28"/>
        <v>0.13768005306955375</v>
      </c>
      <c r="DI31" s="9">
        <f t="shared" si="28"/>
        <v>0.13686197904143244</v>
      </c>
      <c r="DJ31" s="9">
        <f t="shared" si="28"/>
        <v>0.13606082374119988</v>
      </c>
    </row>
    <row r="32" spans="1:114" x14ac:dyDescent="0.3">
      <c r="A32" t="s">
        <v>788</v>
      </c>
      <c r="B32" t="s">
        <v>686</v>
      </c>
      <c r="C32" t="s">
        <v>696</v>
      </c>
      <c r="D32">
        <v>0.35196182883751598</v>
      </c>
      <c r="E32">
        <v>0.33939745728911902</v>
      </c>
      <c r="F32">
        <v>0.30994221283873702</v>
      </c>
      <c r="G32">
        <v>0.36245304006175499</v>
      </c>
      <c r="H32">
        <v>0.340786022006138</v>
      </c>
      <c r="I32">
        <v>0.33936289388351698</v>
      </c>
      <c r="J32">
        <v>0.33699417006464999</v>
      </c>
      <c r="K32">
        <v>0.33401822858077901</v>
      </c>
      <c r="L32">
        <v>0.33050502546767702</v>
      </c>
      <c r="M32">
        <v>0.32688890080192901</v>
      </c>
      <c r="N32">
        <v>0.32289700147274403</v>
      </c>
      <c r="O32">
        <v>0.31958221281604898</v>
      </c>
      <c r="P32">
        <v>0.31726388217113599</v>
      </c>
      <c r="Q32">
        <v>0.315361760891464</v>
      </c>
      <c r="R32">
        <v>0.314062924635504</v>
      </c>
      <c r="S32">
        <v>0.31267840327358998</v>
      </c>
      <c r="T32">
        <v>0.31135960628703102</v>
      </c>
      <c r="U32">
        <v>0.30957775218745898</v>
      </c>
      <c r="V32">
        <v>0.308038717493263</v>
      </c>
      <c r="W32">
        <v>0.306639532468506</v>
      </c>
      <c r="X32">
        <v>0.30549505248195602</v>
      </c>
      <c r="Y32">
        <v>0.30435788995025898</v>
      </c>
      <c r="Z32">
        <v>0.30319229124554797</v>
      </c>
      <c r="AA32">
        <v>0.30221945647566401</v>
      </c>
      <c r="AB32">
        <v>0.30142895913752599</v>
      </c>
      <c r="AC32">
        <v>0.30065092524019699</v>
      </c>
      <c r="AD32">
        <v>0.29982469164683201</v>
      </c>
      <c r="AE32">
        <v>0.29913978315552903</v>
      </c>
      <c r="AF32">
        <v>0.29844108746361497</v>
      </c>
      <c r="AG32">
        <v>0.29775189411340802</v>
      </c>
      <c r="AH32">
        <v>0.297062069679982</v>
      </c>
      <c r="AI32">
        <v>0.29649235834309901</v>
      </c>
      <c r="AJ32">
        <v>0.29592341262564498</v>
      </c>
      <c r="AK32">
        <v>0.29530123404421399</v>
      </c>
      <c r="AL32">
        <v>0.294689609742881</v>
      </c>
      <c r="AM32">
        <v>0.29423233895979301</v>
      </c>
      <c r="AO32" t="str">
        <f t="shared" si="0"/>
        <v>Baseline uncompeted_Best Rooftop Heat Pump (FS)</v>
      </c>
      <c r="AP32" s="111"/>
      <c r="AQ32" s="111"/>
      <c r="AR32" s="111"/>
      <c r="AS32" s="111"/>
      <c r="AT32" s="111"/>
      <c r="AU32" s="209"/>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row>
    <row r="33" spans="1:114" x14ac:dyDescent="0.3">
      <c r="A33" t="s">
        <v>788</v>
      </c>
      <c r="B33" t="s">
        <v>685</v>
      </c>
      <c r="C33" t="s">
        <v>696</v>
      </c>
      <c r="D33">
        <v>0.35196182883751598</v>
      </c>
      <c r="E33">
        <v>0.33939745728911902</v>
      </c>
      <c r="F33">
        <v>0.224338543523282</v>
      </c>
      <c r="G33">
        <v>0.25669209953757899</v>
      </c>
      <c r="H33">
        <v>0.23839465780177799</v>
      </c>
      <c r="I33">
        <v>0.238356554647952</v>
      </c>
      <c r="J33">
        <v>0.23480783388905199</v>
      </c>
      <c r="K33">
        <v>0.231028196758542</v>
      </c>
      <c r="L33">
        <v>0.227205765904789</v>
      </c>
      <c r="M33">
        <v>0.22401714370867701</v>
      </c>
      <c r="N33">
        <v>0.22022764013007901</v>
      </c>
      <c r="O33">
        <v>0.217050376378398</v>
      </c>
      <c r="P33">
        <v>0.21472937826353899</v>
      </c>
      <c r="Q33">
        <v>0.21285235095208899</v>
      </c>
      <c r="R33">
        <v>0.21176959379701399</v>
      </c>
      <c r="S33">
        <v>0.210504705259074</v>
      </c>
      <c r="T33">
        <v>0.209169019905936</v>
      </c>
      <c r="U33">
        <v>0.20711702597867501</v>
      </c>
      <c r="V33">
        <v>0.205703790400382</v>
      </c>
      <c r="W33">
        <v>0.20428114526573299</v>
      </c>
      <c r="X33">
        <v>0.20326636739958601</v>
      </c>
      <c r="Y33">
        <v>0.202386496701354</v>
      </c>
      <c r="Z33">
        <v>0.20132107671647101</v>
      </c>
      <c r="AA33">
        <v>0.20044042019125299</v>
      </c>
      <c r="AB33">
        <v>0.199759926464429</v>
      </c>
      <c r="AC33">
        <v>0.19908088751255301</v>
      </c>
      <c r="AD33">
        <v>0.19831254264550599</v>
      </c>
      <c r="AE33">
        <v>0.19763308572426699</v>
      </c>
      <c r="AF33">
        <v>0.19698958364456501</v>
      </c>
      <c r="AG33">
        <v>0.19637042940261701</v>
      </c>
      <c r="AH33">
        <v>0.19575764292728801</v>
      </c>
      <c r="AI33">
        <v>0.19526873179840101</v>
      </c>
      <c r="AJ33">
        <v>0.19488139831047399</v>
      </c>
      <c r="AK33">
        <v>0.19438595223351601</v>
      </c>
      <c r="AL33">
        <v>0.193989515094871</v>
      </c>
      <c r="AM33">
        <v>0.19365085052198</v>
      </c>
      <c r="AO33" t="str">
        <f t="shared" si="0"/>
        <v>Efficient uncompeted_Best Rooftop Heat Pump (FS)</v>
      </c>
      <c r="AP33" s="111">
        <f t="shared" ref="AP33:BY33" si="29">(D32-D33)*293071083333.33</f>
        <v>0</v>
      </c>
      <c r="AQ33" s="111">
        <f t="shared" si="29"/>
        <v>0</v>
      </c>
      <c r="AR33" s="111">
        <f t="shared" si="29"/>
        <v>25087960103.588543</v>
      </c>
      <c r="AS33" s="111">
        <f t="shared" si="29"/>
        <v>30995473413.772144</v>
      </c>
      <c r="AT33" s="111">
        <f t="shared" si="29"/>
        <v>30007948031.349339</v>
      </c>
      <c r="AU33" s="209">
        <f t="shared" si="29"/>
        <v>29602037263.300865</v>
      </c>
      <c r="AV33" s="111">
        <f t="shared" si="29"/>
        <v>29947860244.846355</v>
      </c>
      <c r="AW33" s="111">
        <f t="shared" si="29"/>
        <v>30183400198.677132</v>
      </c>
      <c r="AX33" s="111">
        <f t="shared" si="29"/>
        <v>30274025907.626442</v>
      </c>
      <c r="AY33" s="111">
        <f t="shared" si="29"/>
        <v>30148737295.722538</v>
      </c>
      <c r="AZ33" s="111">
        <f t="shared" si="29"/>
        <v>30089420953.835953</v>
      </c>
      <c r="BA33" s="111">
        <f t="shared" si="29"/>
        <v>30049116380.938175</v>
      </c>
      <c r="BB33" s="111">
        <f t="shared" si="29"/>
        <v>30049898139.24501</v>
      </c>
      <c r="BC33" s="111">
        <f t="shared" si="29"/>
        <v>30042543822.793064</v>
      </c>
      <c r="BD33" s="111">
        <f t="shared" si="29"/>
        <v>29979217286.611004</v>
      </c>
      <c r="BE33" s="111">
        <f t="shared" si="29"/>
        <v>29944156365.286709</v>
      </c>
      <c r="BF33" s="111">
        <f t="shared" si="29"/>
        <v>29949105857.175758</v>
      </c>
      <c r="BG33" s="111">
        <f t="shared" si="29"/>
        <v>30028276029.128036</v>
      </c>
      <c r="BH33" s="111">
        <f t="shared" si="29"/>
        <v>29991407945.947979</v>
      </c>
      <c r="BI33" s="111">
        <f t="shared" si="29"/>
        <v>29998283425.76915</v>
      </c>
      <c r="BJ33" s="111">
        <f t="shared" si="29"/>
        <v>29960271484.832012</v>
      </c>
      <c r="BK33" s="111">
        <f t="shared" si="29"/>
        <v>29884866688.465595</v>
      </c>
      <c r="BL33" s="111">
        <f t="shared" si="29"/>
        <v>29855507202.518654</v>
      </c>
      <c r="BM33" s="111">
        <f t="shared" si="29"/>
        <v>29828492424.49464</v>
      </c>
      <c r="BN33" s="111">
        <f t="shared" si="29"/>
        <v>29796253546.956261</v>
      </c>
      <c r="BO33" s="111">
        <f t="shared" si="29"/>
        <v>29767240991.047821</v>
      </c>
      <c r="BP33" s="111">
        <f t="shared" si="29"/>
        <v>29750275479.31303</v>
      </c>
      <c r="BQ33" s="111">
        <f t="shared" si="29"/>
        <v>29748677781.768513</v>
      </c>
      <c r="BR33" s="111">
        <f t="shared" si="29"/>
        <v>29732502130.044441</v>
      </c>
      <c r="BS33" s="111">
        <f t="shared" si="29"/>
        <v>29711975692.711288</v>
      </c>
      <c r="BT33" s="111">
        <f t="shared" si="29"/>
        <v>29689398094.874008</v>
      </c>
      <c r="BU33" s="111">
        <f t="shared" si="29"/>
        <v>29665717890.38306</v>
      </c>
      <c r="BV33" s="111">
        <f t="shared" si="29"/>
        <v>29612492597.528999</v>
      </c>
      <c r="BW33" s="111">
        <f t="shared" si="29"/>
        <v>29575350965.149551</v>
      </c>
      <c r="BX33" s="111">
        <f t="shared" si="29"/>
        <v>29512285830.261158</v>
      </c>
      <c r="BY33" s="111">
        <f t="shared" si="29"/>
        <v>29477525779.748665</v>
      </c>
      <c r="CA33" s="9">
        <f t="shared" ref="CA33:DJ33" si="30">(D32-D33)/D32</f>
        <v>0</v>
      </c>
      <c r="CB33" s="9">
        <f t="shared" si="30"/>
        <v>0</v>
      </c>
      <c r="CC33" s="9">
        <f t="shared" si="30"/>
        <v>0.27619235383079171</v>
      </c>
      <c r="CD33" s="9">
        <f t="shared" si="30"/>
        <v>0.29179211879739342</v>
      </c>
      <c r="CE33" s="9">
        <f t="shared" si="30"/>
        <v>0.30045646708630502</v>
      </c>
      <c r="CF33" s="9">
        <f t="shared" si="30"/>
        <v>0.29763518951554685</v>
      </c>
      <c r="CG33" s="9">
        <f t="shared" si="30"/>
        <v>0.30322879519249329</v>
      </c>
      <c r="CH33" s="9">
        <f t="shared" si="30"/>
        <v>0.3083365607315347</v>
      </c>
      <c r="CI33" s="9">
        <f t="shared" si="30"/>
        <v>0.31254973934727825</v>
      </c>
      <c r="CJ33" s="9">
        <f t="shared" si="30"/>
        <v>0.3146994493874995</v>
      </c>
      <c r="CK33" s="9">
        <f t="shared" si="30"/>
        <v>0.31796319220800018</v>
      </c>
      <c r="CL33" s="9">
        <f t="shared" si="30"/>
        <v>0.32083086081098056</v>
      </c>
      <c r="CM33" s="9">
        <f t="shared" si="30"/>
        <v>0.32318366403991944</v>
      </c>
      <c r="CN33" s="9">
        <f t="shared" si="30"/>
        <v>0.3250533915386622</v>
      </c>
      <c r="CO33" s="9">
        <f t="shared" si="30"/>
        <v>0.32570966775912785</v>
      </c>
      <c r="CP33" s="9">
        <f t="shared" si="30"/>
        <v>0.32676928417443396</v>
      </c>
      <c r="CQ33" s="9">
        <f t="shared" si="30"/>
        <v>0.32820759121492871</v>
      </c>
      <c r="CR33" s="9">
        <f t="shared" si="30"/>
        <v>0.33096928149649718</v>
      </c>
      <c r="CS33" s="9">
        <f t="shared" si="30"/>
        <v>0.33221449539088904</v>
      </c>
      <c r="CT33" s="9">
        <f t="shared" si="30"/>
        <v>0.33380688516829099</v>
      </c>
      <c r="CU33" s="9">
        <f t="shared" si="30"/>
        <v>0.33463286639775652</v>
      </c>
      <c r="CV33" s="9">
        <f t="shared" si="30"/>
        <v>0.33503778484457919</v>
      </c>
      <c r="CW33" s="9">
        <f t="shared" si="30"/>
        <v>0.33599539787300853</v>
      </c>
      <c r="CX33" s="9">
        <f t="shared" si="30"/>
        <v>0.33677195198253784</v>
      </c>
      <c r="CY33" s="9">
        <f t="shared" si="30"/>
        <v>0.33729019588562764</v>
      </c>
      <c r="CZ33" s="9">
        <f t="shared" si="30"/>
        <v>0.33783377731665826</v>
      </c>
      <c r="DA33" s="9">
        <f t="shared" si="30"/>
        <v>0.33857167814883871</v>
      </c>
      <c r="DB33" s="9">
        <f t="shared" si="30"/>
        <v>0.339328645493089</v>
      </c>
      <c r="DC33" s="9">
        <f t="shared" si="30"/>
        <v>0.3399381254145129</v>
      </c>
      <c r="DD33" s="9">
        <f t="shared" si="30"/>
        <v>0.34048973899113716</v>
      </c>
      <c r="DE33" s="9">
        <f t="shared" si="30"/>
        <v>0.34102107637581225</v>
      </c>
      <c r="DF33" s="9">
        <f t="shared" si="30"/>
        <v>0.3414038294624871</v>
      </c>
      <c r="DG33" s="9">
        <f t="shared" si="30"/>
        <v>0.34144650272397742</v>
      </c>
      <c r="DH33" s="9">
        <f t="shared" si="30"/>
        <v>0.34173674260903508</v>
      </c>
      <c r="DI33" s="9">
        <f t="shared" si="30"/>
        <v>0.34171579627755327</v>
      </c>
      <c r="DJ33" s="9">
        <f t="shared" si="30"/>
        <v>0.34184375787311916</v>
      </c>
    </row>
    <row r="34" spans="1:114" x14ac:dyDescent="0.3">
      <c r="A34" t="s">
        <v>787</v>
      </c>
      <c r="B34" t="s">
        <v>686</v>
      </c>
      <c r="C34" t="s">
        <v>679</v>
      </c>
      <c r="D34">
        <v>0.102653967425807</v>
      </c>
      <c r="E34">
        <v>8.9450572749789195E-2</v>
      </c>
      <c r="F34">
        <v>7.937890594534E-2</v>
      </c>
      <c r="G34">
        <v>0.103946035944155</v>
      </c>
      <c r="H34">
        <v>9.9791015890318205E-2</v>
      </c>
      <c r="I34">
        <v>9.1119621907133602E-2</v>
      </c>
      <c r="J34">
        <v>8.8271289974663394E-2</v>
      </c>
      <c r="K34">
        <v>8.5445381103869497E-2</v>
      </c>
      <c r="L34">
        <v>8.2686427993358694E-2</v>
      </c>
      <c r="M34">
        <v>7.9872989647039802E-2</v>
      </c>
      <c r="N34">
        <v>7.7147853727198595E-2</v>
      </c>
      <c r="O34">
        <v>7.4600117025270404E-2</v>
      </c>
      <c r="P34">
        <v>7.2296221759654597E-2</v>
      </c>
      <c r="Q34">
        <v>7.0056384990246898E-2</v>
      </c>
      <c r="R34">
        <v>6.7903701391313007E-2</v>
      </c>
      <c r="S34">
        <v>6.5756170769813604E-2</v>
      </c>
      <c r="T34">
        <v>6.3670432009250599E-2</v>
      </c>
      <c r="U34">
        <v>6.1598171873292598E-2</v>
      </c>
      <c r="V34">
        <v>5.9508511965163297E-2</v>
      </c>
      <c r="W34">
        <v>5.7497395828288E-2</v>
      </c>
      <c r="X34">
        <v>5.55400627689253E-2</v>
      </c>
      <c r="Y34">
        <v>5.3610021040300902E-2</v>
      </c>
      <c r="Z34">
        <v>5.1732758571935697E-2</v>
      </c>
      <c r="AA34">
        <v>4.99197963476153E-2</v>
      </c>
      <c r="AB34">
        <v>4.8149737300463097E-2</v>
      </c>
      <c r="AC34">
        <v>4.6390016320466902E-2</v>
      </c>
      <c r="AD34">
        <v>4.4659280895608403E-2</v>
      </c>
      <c r="AE34">
        <v>4.2964076903595598E-2</v>
      </c>
      <c r="AF34">
        <v>4.12808696739176E-2</v>
      </c>
      <c r="AG34">
        <v>3.9625069152518899E-2</v>
      </c>
      <c r="AH34">
        <v>3.7991061580274203E-2</v>
      </c>
      <c r="AI34">
        <v>3.63847893802711E-2</v>
      </c>
      <c r="AJ34">
        <v>3.4791883633500401E-2</v>
      </c>
      <c r="AK34">
        <v>3.3231137950569499E-2</v>
      </c>
      <c r="AL34">
        <v>3.1673853495669597E-2</v>
      </c>
      <c r="AM34">
        <v>3.0153376516933901E-2</v>
      </c>
      <c r="AO34" t="str">
        <f t="shared" si="0"/>
        <v>Baseline uncompeted_Com. Air Sealing (Exist), 90.1 c. 2016</v>
      </c>
      <c r="AP34" s="111"/>
      <c r="AQ34" s="111"/>
      <c r="AR34" s="111"/>
      <c r="AS34" s="111"/>
      <c r="AT34" s="111"/>
      <c r="AU34" s="209"/>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row>
    <row r="35" spans="1:114" x14ac:dyDescent="0.3">
      <c r="A35" t="s">
        <v>787</v>
      </c>
      <c r="B35" t="s">
        <v>685</v>
      </c>
      <c r="C35" t="s">
        <v>679</v>
      </c>
      <c r="D35">
        <v>2.73743913135484E-2</v>
      </c>
      <c r="E35">
        <v>2.3853486066610401E-2</v>
      </c>
      <c r="F35">
        <v>2.1167708252090699E-2</v>
      </c>
      <c r="G35">
        <v>2.7718942918441299E-2</v>
      </c>
      <c r="H35">
        <v>2.6610937570751499E-2</v>
      </c>
      <c r="I35">
        <v>2.4298565841902299E-2</v>
      </c>
      <c r="J35">
        <v>2.3539010659910199E-2</v>
      </c>
      <c r="K35">
        <v>2.27854349610319E-2</v>
      </c>
      <c r="L35">
        <v>2.2049714131562301E-2</v>
      </c>
      <c r="M35">
        <v>2.1299463905877301E-2</v>
      </c>
      <c r="N35">
        <v>2.0572760993919598E-2</v>
      </c>
      <c r="O35">
        <v>1.9893364540072098E-2</v>
      </c>
      <c r="P35">
        <v>1.92789924692412E-2</v>
      </c>
      <c r="Q35">
        <v>1.8681702664065901E-2</v>
      </c>
      <c r="R35">
        <v>1.81076537043501E-2</v>
      </c>
      <c r="S35">
        <v>1.75349788719503E-2</v>
      </c>
      <c r="T35">
        <v>1.69787818691335E-2</v>
      </c>
      <c r="U35">
        <v>1.6426179166211301E-2</v>
      </c>
      <c r="V35">
        <v>1.58689365240435E-2</v>
      </c>
      <c r="W35">
        <v>1.53326388875435E-2</v>
      </c>
      <c r="X35">
        <v>1.4810683405046699E-2</v>
      </c>
      <c r="Y35">
        <v>1.42960056107469E-2</v>
      </c>
      <c r="Z35">
        <v>1.37954022858495E-2</v>
      </c>
      <c r="AA35">
        <v>1.33119456926974E-2</v>
      </c>
      <c r="AB35">
        <v>1.28399299467902E-2</v>
      </c>
      <c r="AC35">
        <v>1.2370671018791199E-2</v>
      </c>
      <c r="AD35">
        <v>1.1909141572162199E-2</v>
      </c>
      <c r="AE35">
        <v>1.14570871742922E-2</v>
      </c>
      <c r="AF35">
        <v>1.1008231913044699E-2</v>
      </c>
      <c r="AG35">
        <v>1.05666851073384E-2</v>
      </c>
      <c r="AH35">
        <v>1.01309497547398E-2</v>
      </c>
      <c r="AI35">
        <v>9.7026105014056396E-3</v>
      </c>
      <c r="AJ35">
        <v>9.2778356356000898E-3</v>
      </c>
      <c r="AK35">
        <v>8.86163678681854E-3</v>
      </c>
      <c r="AL35">
        <v>8.44636093217856E-3</v>
      </c>
      <c r="AM35">
        <v>8.0409004045157093E-3</v>
      </c>
      <c r="AO35" t="str">
        <f t="shared" ref="AO35:AO66" si="31">CONCATENATE(B35,"_",A35)</f>
        <v>Efficient uncompeted_Com. Air Sealing (Exist), 90.1 c. 2016</v>
      </c>
      <c r="AP35" s="111">
        <f t="shared" ref="AP35:BY35" si="32">(D34-D35)*293071083333.33</f>
        <v>22062266924.093502</v>
      </c>
      <c r="AQ35" s="111">
        <f t="shared" si="32"/>
        <v>19224609257.749565</v>
      </c>
      <c r="AR35" s="111">
        <f t="shared" si="32"/>
        <v>17060018770.091213</v>
      </c>
      <c r="AS35" s="111">
        <f t="shared" si="32"/>
        <v>22339956732.396442</v>
      </c>
      <c r="AT35" s="111">
        <f t="shared" si="32"/>
        <v>21446964831.533352</v>
      </c>
      <c r="AU35" s="209">
        <f t="shared" si="32"/>
        <v>19583319290.514523</v>
      </c>
      <c r="AV35" s="111">
        <f t="shared" si="32"/>
        <v>18971159225.410431</v>
      </c>
      <c r="AW35" s="111">
        <f t="shared" si="32"/>
        <v>18363818297.689529</v>
      </c>
      <c r="AX35" s="111">
        <f t="shared" si="32"/>
        <v>17770867421.249817</v>
      </c>
      <c r="AY35" s="111">
        <f t="shared" si="32"/>
        <v>17166206643.615187</v>
      </c>
      <c r="AZ35" s="111">
        <f t="shared" si="32"/>
        <v>16580523717.025684</v>
      </c>
      <c r="BA35" s="111">
        <f t="shared" si="32"/>
        <v>16032967216.485413</v>
      </c>
      <c r="BB35" s="111">
        <f t="shared" si="32"/>
        <v>15537816823.473011</v>
      </c>
      <c r="BC35" s="111">
        <f t="shared" si="32"/>
        <v>15056433805.239548</v>
      </c>
      <c r="BD35" s="111">
        <f t="shared" si="32"/>
        <v>14593781641.336382</v>
      </c>
      <c r="BE35" s="111">
        <f t="shared" si="32"/>
        <v>14132236949.131195</v>
      </c>
      <c r="BF35" s="111">
        <f t="shared" si="32"/>
        <v>13683972489.184948</v>
      </c>
      <c r="BG35" s="111">
        <f t="shared" si="32"/>
        <v>13238604838.989599</v>
      </c>
      <c r="BH35" s="111">
        <f t="shared" si="32"/>
        <v>12789497650.735561</v>
      </c>
      <c r="BI35" s="111">
        <f t="shared" si="32"/>
        <v>12357270995.110537</v>
      </c>
      <c r="BJ35" s="111">
        <f t="shared" si="32"/>
        <v>11936603333.666079</v>
      </c>
      <c r="BK35" s="111">
        <f t="shared" si="32"/>
        <v>11521801092.122644</v>
      </c>
      <c r="BL35" s="111">
        <f t="shared" si="32"/>
        <v>11118342105.565798</v>
      </c>
      <c r="BM35" s="111">
        <f t="shared" si="32"/>
        <v>10728702449.941544</v>
      </c>
      <c r="BN35" s="111">
        <f t="shared" si="32"/>
        <v>10348283493.432098</v>
      </c>
      <c r="BO35" s="111">
        <f t="shared" si="32"/>
        <v>9970086381.8527298</v>
      </c>
      <c r="BP35" s="111">
        <f t="shared" si="32"/>
        <v>9598118810.8398705</v>
      </c>
      <c r="BQ35" s="111">
        <f t="shared" si="32"/>
        <v>9233787612.5390472</v>
      </c>
      <c r="BR35" s="111">
        <f t="shared" si="32"/>
        <v>8872034743.9364948</v>
      </c>
      <c r="BS35" s="111">
        <f t="shared" si="32"/>
        <v>8516172092.0370007</v>
      </c>
      <c r="BT35" s="111">
        <f t="shared" si="32"/>
        <v>8164993154.4970865</v>
      </c>
      <c r="BU35" s="111">
        <f t="shared" si="32"/>
        <v>7819775069.7227974</v>
      </c>
      <c r="BV35" s="111">
        <f t="shared" si="32"/>
        <v>7477429686.9632235</v>
      </c>
      <c r="BW35" s="111">
        <f t="shared" si="32"/>
        <v>7141996106.3533401</v>
      </c>
      <c r="BX35" s="111">
        <f t="shared" si="32"/>
        <v>6807306408.6991854</v>
      </c>
      <c r="BY35" s="111">
        <f t="shared" si="32"/>
        <v>6480527329.448781</v>
      </c>
      <c r="CA35" s="9">
        <f t="shared" ref="CA35:DJ35" si="33">(D34-D35)/D34</f>
        <v>0.73333333333333472</v>
      </c>
      <c r="CB35" s="9">
        <f t="shared" si="33"/>
        <v>0.73333333333333384</v>
      </c>
      <c r="CC35" s="9">
        <f t="shared" si="33"/>
        <v>0.73333333333333284</v>
      </c>
      <c r="CD35" s="9">
        <f t="shared" si="33"/>
        <v>0.73333333333333373</v>
      </c>
      <c r="CE35" s="9">
        <f t="shared" si="33"/>
        <v>0.7333333333333335</v>
      </c>
      <c r="CF35" s="9">
        <f t="shared" si="33"/>
        <v>0.73333333333333339</v>
      </c>
      <c r="CG35" s="9">
        <f t="shared" si="33"/>
        <v>0.73333333333333384</v>
      </c>
      <c r="CH35" s="9">
        <f t="shared" si="33"/>
        <v>0.73333333333333295</v>
      </c>
      <c r="CI35" s="9">
        <f t="shared" si="33"/>
        <v>0.7333333333333335</v>
      </c>
      <c r="CJ35" s="9">
        <f t="shared" si="33"/>
        <v>0.73333333333333306</v>
      </c>
      <c r="CK35" s="9">
        <f t="shared" si="33"/>
        <v>0.73333333333333373</v>
      </c>
      <c r="CL35" s="9">
        <f t="shared" si="33"/>
        <v>0.7333333333333335</v>
      </c>
      <c r="CM35" s="9">
        <f t="shared" si="33"/>
        <v>0.73333333333333373</v>
      </c>
      <c r="CN35" s="9">
        <f t="shared" si="33"/>
        <v>0.7333333333333325</v>
      </c>
      <c r="CO35" s="9">
        <f t="shared" si="33"/>
        <v>0.73333333333333384</v>
      </c>
      <c r="CP35" s="9">
        <f t="shared" si="33"/>
        <v>0.73333333333333328</v>
      </c>
      <c r="CQ35" s="9">
        <f t="shared" si="33"/>
        <v>0.73333333333333328</v>
      </c>
      <c r="CR35" s="9">
        <f t="shared" si="33"/>
        <v>0.73333333333333428</v>
      </c>
      <c r="CS35" s="9">
        <f t="shared" si="33"/>
        <v>0.73333333333333406</v>
      </c>
      <c r="CT35" s="9">
        <f t="shared" si="33"/>
        <v>0.73333333333333273</v>
      </c>
      <c r="CU35" s="9">
        <f t="shared" si="33"/>
        <v>0.73333333333333428</v>
      </c>
      <c r="CV35" s="9">
        <f t="shared" si="33"/>
        <v>0.7333333333333335</v>
      </c>
      <c r="CW35" s="9">
        <f t="shared" si="33"/>
        <v>0.73333333333333361</v>
      </c>
      <c r="CX35" s="9">
        <f t="shared" si="33"/>
        <v>0.73333333333333361</v>
      </c>
      <c r="CY35" s="9">
        <f t="shared" si="33"/>
        <v>0.7333333333333325</v>
      </c>
      <c r="CZ35" s="9">
        <f t="shared" si="33"/>
        <v>0.73333333333333284</v>
      </c>
      <c r="DA35" s="9">
        <f t="shared" si="33"/>
        <v>0.73333333333333428</v>
      </c>
      <c r="DB35" s="9">
        <f t="shared" si="33"/>
        <v>0.73333333333333228</v>
      </c>
      <c r="DC35" s="9">
        <f t="shared" si="33"/>
        <v>0.73333333333333317</v>
      </c>
      <c r="DD35" s="9">
        <f t="shared" si="33"/>
        <v>0.73333333333333262</v>
      </c>
      <c r="DE35" s="9">
        <f t="shared" si="33"/>
        <v>0.73333333333333306</v>
      </c>
      <c r="DF35" s="9">
        <f t="shared" si="33"/>
        <v>0.73333333333333295</v>
      </c>
      <c r="DG35" s="9">
        <f t="shared" si="33"/>
        <v>0.73333333333333373</v>
      </c>
      <c r="DH35" s="9">
        <f t="shared" si="33"/>
        <v>0.73333333333333317</v>
      </c>
      <c r="DI35" s="9">
        <f t="shared" si="33"/>
        <v>0.73333333333333328</v>
      </c>
      <c r="DJ35" s="9">
        <f t="shared" si="33"/>
        <v>0.73333333333333328</v>
      </c>
    </row>
    <row r="36" spans="1:114" x14ac:dyDescent="0.3">
      <c r="A36" t="s">
        <v>786</v>
      </c>
      <c r="B36" t="s">
        <v>686</v>
      </c>
      <c r="C36" t="s">
        <v>679</v>
      </c>
      <c r="D36">
        <v>2.42125317945341E-3</v>
      </c>
      <c r="E36">
        <v>4.4766792919808699E-3</v>
      </c>
      <c r="F36">
        <v>6.2121375738883999E-3</v>
      </c>
      <c r="G36">
        <v>1.13092826739561E-2</v>
      </c>
      <c r="H36">
        <v>1.4128431839354199E-2</v>
      </c>
      <c r="I36">
        <v>1.5777237378927101E-2</v>
      </c>
      <c r="J36">
        <v>1.81261242465031E-2</v>
      </c>
      <c r="K36">
        <v>2.033765263255E-2</v>
      </c>
      <c r="L36">
        <v>2.24312623649074E-2</v>
      </c>
      <c r="M36">
        <v>2.4385620694863899E-2</v>
      </c>
      <c r="N36">
        <v>2.6268122741444501E-2</v>
      </c>
      <c r="O36">
        <v>2.81452632343017E-2</v>
      </c>
      <c r="P36">
        <v>3.00645860665643E-2</v>
      </c>
      <c r="Q36">
        <v>3.19633220307739E-2</v>
      </c>
      <c r="R36">
        <v>3.3847198226803203E-2</v>
      </c>
      <c r="S36">
        <v>3.5675908525831301E-2</v>
      </c>
      <c r="T36">
        <v>3.7483521265952197E-2</v>
      </c>
      <c r="U36">
        <v>3.9233023223212302E-2</v>
      </c>
      <c r="V36">
        <v>4.0900768322598501E-2</v>
      </c>
      <c r="W36">
        <v>4.2541627093957701E-2</v>
      </c>
      <c r="X36">
        <v>4.4135465654111097E-2</v>
      </c>
      <c r="Y36">
        <v>4.5667557056791701E-2</v>
      </c>
      <c r="Z36">
        <v>4.7164616080724003E-2</v>
      </c>
      <c r="AA36">
        <v>4.8653388416302797E-2</v>
      </c>
      <c r="AB36">
        <v>5.0126729588205701E-2</v>
      </c>
      <c r="AC36">
        <v>5.1558840498501297E-2</v>
      </c>
      <c r="AD36">
        <v>5.29601256186117E-2</v>
      </c>
      <c r="AE36">
        <v>5.4341558765593601E-2</v>
      </c>
      <c r="AF36">
        <v>5.5673918282279203E-2</v>
      </c>
      <c r="AG36">
        <v>5.6976929354378703E-2</v>
      </c>
      <c r="AH36">
        <v>5.8249740132052398E-2</v>
      </c>
      <c r="AI36">
        <v>5.9499884898653002E-2</v>
      </c>
      <c r="AJ36">
        <v>6.0704208831644103E-2</v>
      </c>
      <c r="AK36">
        <v>6.1890401398690502E-2</v>
      </c>
      <c r="AL36">
        <v>6.3001322332673498E-2</v>
      </c>
      <c r="AM36">
        <v>6.4093506675065096E-2</v>
      </c>
      <c r="AO36" t="str">
        <f t="shared" si="31"/>
        <v>Baseline uncompeted_Com. Air Sealing (New), 90.1 c. 2016</v>
      </c>
      <c r="AP36" s="111"/>
      <c r="AQ36" s="111"/>
      <c r="AR36" s="111"/>
      <c r="AS36" s="111"/>
      <c r="AT36" s="111"/>
      <c r="AU36" s="209"/>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row>
    <row r="37" spans="1:114" x14ac:dyDescent="0.3">
      <c r="A37" t="s">
        <v>786</v>
      </c>
      <c r="B37" t="s">
        <v>685</v>
      </c>
      <c r="C37" t="s">
        <v>679</v>
      </c>
      <c r="D37">
        <v>2.42125317945341E-3</v>
      </c>
      <c r="E37">
        <v>4.4766792919808699E-3</v>
      </c>
      <c r="F37">
        <v>6.2186766660714404E-3</v>
      </c>
      <c r="G37">
        <v>1.13392884691815E-2</v>
      </c>
      <c r="H37">
        <v>1.4205534639593899E-2</v>
      </c>
      <c r="I37">
        <v>1.59285498901762E-2</v>
      </c>
      <c r="J37">
        <v>1.8401735564076701E-2</v>
      </c>
      <c r="K37">
        <v>2.0776290268236301E-2</v>
      </c>
      <c r="L37">
        <v>2.3097646596300401E-2</v>
      </c>
      <c r="M37">
        <v>2.5388203248833102E-2</v>
      </c>
      <c r="N37">
        <v>2.7676743931969599E-2</v>
      </c>
      <c r="O37">
        <v>3.0040420357174601E-2</v>
      </c>
      <c r="P37">
        <v>3.2492925630102899E-2</v>
      </c>
      <c r="Q37">
        <v>3.5016426087714901E-2</v>
      </c>
      <c r="R37">
        <v>3.7628060335450603E-2</v>
      </c>
      <c r="S37">
        <v>4.0294860051167503E-2</v>
      </c>
      <c r="T37">
        <v>4.3068027436796601E-2</v>
      </c>
      <c r="U37">
        <v>4.5920306371892899E-2</v>
      </c>
      <c r="V37">
        <v>4.8839614887105802E-2</v>
      </c>
      <c r="W37">
        <v>5.1910066706000998E-2</v>
      </c>
      <c r="X37">
        <v>5.5131691041808498E-2</v>
      </c>
      <c r="Y37">
        <v>5.8514163363749899E-2</v>
      </c>
      <c r="Z37">
        <v>6.2126146462821497E-2</v>
      </c>
      <c r="AA37">
        <v>6.6049001742128896E-2</v>
      </c>
      <c r="AB37">
        <v>7.0333721622803894E-2</v>
      </c>
      <c r="AC37">
        <v>7.4646013370664593E-2</v>
      </c>
      <c r="AD37">
        <v>7.8992920258241395E-2</v>
      </c>
      <c r="AE37">
        <v>8.3779659892596101E-2</v>
      </c>
      <c r="AF37">
        <v>8.8571027576359901E-2</v>
      </c>
      <c r="AG37">
        <v>9.3389248512884507E-2</v>
      </c>
      <c r="AH37">
        <v>9.8225945791622596E-2</v>
      </c>
      <c r="AI37">
        <v>0.103087361975098</v>
      </c>
      <c r="AJ37">
        <v>0.107926788434308</v>
      </c>
      <c r="AK37">
        <v>0.112786252758785</v>
      </c>
      <c r="AL37">
        <v>0.117554635440366</v>
      </c>
      <c r="AM37">
        <v>0.122328179847374</v>
      </c>
      <c r="AO37" t="str">
        <f t="shared" si="31"/>
        <v>Efficient uncompeted_Com. Air Sealing (New), 90.1 c. 2016</v>
      </c>
      <c r="AP37" s="111">
        <f t="shared" ref="AP37:BY37" si="34">(D36-D37)*293071083333.33</f>
        <v>0</v>
      </c>
      <c r="AQ37" s="111">
        <f t="shared" si="34"/>
        <v>0</v>
      </c>
      <c r="AR37" s="111">
        <f t="shared" si="34"/>
        <v>-1916418.8301002083</v>
      </c>
      <c r="AS37" s="111">
        <f t="shared" si="34"/>
        <v>-8793830.9129862655</v>
      </c>
      <c r="AT37" s="111">
        <f t="shared" si="34"/>
        <v>-22596601.194282193</v>
      </c>
      <c r="AU37" s="209">
        <f t="shared" si="34"/>
        <v>-44345321.593660213</v>
      </c>
      <c r="AV37" s="111">
        <f t="shared" si="34"/>
        <v>-80773707.420221806</v>
      </c>
      <c r="AW37" s="111">
        <f t="shared" si="34"/>
        <v>-128552007.08135474</v>
      </c>
      <c r="AX37" s="111">
        <f t="shared" si="34"/>
        <v>-195297948.61059529</v>
      </c>
      <c r="AY37" s="111">
        <f t="shared" si="34"/>
        <v>-293827955.22285092</v>
      </c>
      <c r="AZ37" s="111">
        <f t="shared" si="34"/>
        <v>-412826138.31347555</v>
      </c>
      <c r="BA37" s="111">
        <f t="shared" si="34"/>
        <v>-555415751.08723783</v>
      </c>
      <c r="BB37" s="111">
        <f t="shared" si="34"/>
        <v>-711676106.58744311</v>
      </c>
      <c r="BC37" s="111">
        <f t="shared" si="34"/>
        <v>-894776513.49708414</v>
      </c>
      <c r="BD37" s="111">
        <f t="shared" si="34"/>
        <v>-1108061354.115232</v>
      </c>
      <c r="BE37" s="111">
        <f t="shared" si="34"/>
        <v>-1353681127.3944175</v>
      </c>
      <c r="BF37" s="111">
        <f t="shared" si="34"/>
        <v>-1636657273.3710361</v>
      </c>
      <c r="BG37" s="111">
        <f t="shared" si="34"/>
        <v>-1959849316.9405451</v>
      </c>
      <c r="BH37" s="111">
        <f t="shared" si="34"/>
        <v>-2326646363.07724</v>
      </c>
      <c r="BI37" s="111">
        <f t="shared" si="34"/>
        <v>-2745618746.244411</v>
      </c>
      <c r="BJ37" s="111">
        <f t="shared" si="34"/>
        <v>-3222675686.949944</v>
      </c>
      <c r="BK37" s="111">
        <f t="shared" si="34"/>
        <v>-3764968827.5370293</v>
      </c>
      <c r="BL37" s="111">
        <f t="shared" si="34"/>
        <v>-4384791917.4058437</v>
      </c>
      <c r="BM37" s="111">
        <f t="shared" si="34"/>
        <v>-5098151242.6475668</v>
      </c>
      <c r="BN37" s="111">
        <f t="shared" si="34"/>
        <v>-5922085046.4876623</v>
      </c>
      <c r="BO37" s="111">
        <f t="shared" si="34"/>
        <v>-6766182764.748765</v>
      </c>
      <c r="BP37" s="111">
        <f t="shared" si="34"/>
        <v>-7629459327.230381</v>
      </c>
      <c r="BQ37" s="111">
        <f t="shared" si="34"/>
        <v>-8627456188.5667458</v>
      </c>
      <c r="BR37" s="111">
        <f t="shared" si="34"/>
        <v>-9641191459.3511906</v>
      </c>
      <c r="BS37" s="111">
        <f t="shared" si="34"/>
        <v>-10671397822.462263</v>
      </c>
      <c r="BT37" s="111">
        <f t="shared" si="34"/>
        <v>-11715869900.206236</v>
      </c>
      <c r="BU37" s="111">
        <f t="shared" si="34"/>
        <v>-12774229126.560425</v>
      </c>
      <c r="BV37" s="111">
        <f t="shared" si="34"/>
        <v>-13839572561.947123</v>
      </c>
      <c r="BW37" s="111">
        <f t="shared" si="34"/>
        <v>-14916102295.275032</v>
      </c>
      <c r="BX37" s="111">
        <f t="shared" si="34"/>
        <v>-15987998571.893793</v>
      </c>
      <c r="BY37" s="111">
        <f t="shared" si="34"/>
        <v>-17066898754.17098</v>
      </c>
      <c r="CA37" s="9">
        <f t="shared" ref="CA37:DJ37" si="35">(D36-D37)/D36</f>
        <v>0</v>
      </c>
      <c r="CB37" s="9">
        <f t="shared" si="35"/>
        <v>0</v>
      </c>
      <c r="CC37" s="9">
        <f t="shared" si="35"/>
        <v>-1.0526315789473916E-3</v>
      </c>
      <c r="CD37" s="9">
        <f t="shared" si="35"/>
        <v>-2.6532005689892659E-3</v>
      </c>
      <c r="CE37" s="9">
        <f t="shared" si="35"/>
        <v>-5.4572794147566377E-3</v>
      </c>
      <c r="CF37" s="9">
        <f t="shared" si="35"/>
        <v>-9.5905580688796718E-3</v>
      </c>
      <c r="CG37" s="9">
        <f t="shared" si="35"/>
        <v>-1.5205198520404736E-2</v>
      </c>
      <c r="CH37" s="9">
        <f t="shared" si="35"/>
        <v>-2.1567761216664223E-2</v>
      </c>
      <c r="CI37" s="9">
        <f t="shared" si="35"/>
        <v>-2.9707834563761609E-2</v>
      </c>
      <c r="CJ37" s="9">
        <f t="shared" si="35"/>
        <v>-4.1113677872483524E-2</v>
      </c>
      <c r="CK37" s="9">
        <f t="shared" si="35"/>
        <v>-5.3624737648368281E-2</v>
      </c>
      <c r="CL37" s="9">
        <f t="shared" si="35"/>
        <v>-6.7334851591055678E-2</v>
      </c>
      <c r="CM37" s="9">
        <f t="shared" si="35"/>
        <v>-8.0770763254885664E-2</v>
      </c>
      <c r="CN37" s="9">
        <f t="shared" si="35"/>
        <v>-9.5518984353425776E-2</v>
      </c>
      <c r="CO37" s="9">
        <f t="shared" si="35"/>
        <v>-0.1117038427615961</v>
      </c>
      <c r="CP37" s="9">
        <f t="shared" si="35"/>
        <v>-0.12946976590636308</v>
      </c>
      <c r="CQ37" s="9">
        <f t="shared" si="35"/>
        <v>-0.14898563374612933</v>
      </c>
      <c r="CR37" s="9">
        <f t="shared" si="35"/>
        <v>-0.17045036551565193</v>
      </c>
      <c r="CS37" s="9">
        <f t="shared" si="35"/>
        <v>-0.19410018173475066</v>
      </c>
      <c r="CT37" s="9">
        <f t="shared" si="35"/>
        <v>-0.22021817810005487</v>
      </c>
      <c r="CU37" s="9">
        <f t="shared" si="35"/>
        <v>-0.24914714787138836</v>
      </c>
      <c r="CV37" s="9">
        <f t="shared" si="35"/>
        <v>-0.28130706205681844</v>
      </c>
      <c r="CW37" s="9">
        <f t="shared" si="35"/>
        <v>-0.31721938235414182</v>
      </c>
      <c r="CX37" s="9">
        <f t="shared" si="35"/>
        <v>-0.35754166137372606</v>
      </c>
      <c r="CY37" s="9">
        <f t="shared" si="35"/>
        <v>-0.40311810087352451</v>
      </c>
      <c r="CZ37" s="9">
        <f t="shared" si="35"/>
        <v>-0.44778301158332662</v>
      </c>
      <c r="DA37" s="9">
        <f t="shared" si="35"/>
        <v>-0.49155462407893208</v>
      </c>
      <c r="DB37" s="9">
        <f t="shared" si="35"/>
        <v>-0.54172353159735376</v>
      </c>
      <c r="DC37" s="9">
        <f t="shared" si="35"/>
        <v>-0.59088906096540583</v>
      </c>
      <c r="DD37" s="9">
        <f t="shared" si="35"/>
        <v>-0.63907127974609779</v>
      </c>
      <c r="DE37" s="9">
        <f t="shared" si="35"/>
        <v>-0.68628985415117694</v>
      </c>
      <c r="DF37" s="9">
        <f t="shared" si="35"/>
        <v>-0.73256405706814676</v>
      </c>
      <c r="DG37" s="9">
        <f t="shared" si="35"/>
        <v>-0.7779127759267912</v>
      </c>
      <c r="DH37" s="9">
        <f t="shared" si="35"/>
        <v>-0.82235452040825452</v>
      </c>
      <c r="DI37" s="9">
        <f t="shared" si="35"/>
        <v>-0.86590743000008863</v>
      </c>
      <c r="DJ37" s="9">
        <f t="shared" si="35"/>
        <v>-0.90858928140008433</v>
      </c>
    </row>
    <row r="38" spans="1:114" x14ac:dyDescent="0.3">
      <c r="A38" t="s">
        <v>785</v>
      </c>
      <c r="B38" t="s">
        <v>686</v>
      </c>
      <c r="C38" t="s">
        <v>746</v>
      </c>
      <c r="D38">
        <v>0.11366870600238101</v>
      </c>
      <c r="E38">
        <v>0.120998051097726</v>
      </c>
      <c r="F38">
        <v>0.115065716192726</v>
      </c>
      <c r="G38">
        <v>0.12478654444778201</v>
      </c>
      <c r="H38">
        <v>0.115778430703429</v>
      </c>
      <c r="I38">
        <v>0.12670156859920301</v>
      </c>
      <c r="J38">
        <v>0.129437748552719</v>
      </c>
      <c r="K38">
        <v>0.131673018414662</v>
      </c>
      <c r="L38">
        <v>0.13361508662423399</v>
      </c>
      <c r="M38">
        <v>0.13564183643375899</v>
      </c>
      <c r="N38">
        <v>0.13704006699288701</v>
      </c>
      <c r="O38">
        <v>0.13861303149554199</v>
      </c>
      <c r="P38">
        <v>0.140571934867565</v>
      </c>
      <c r="Q38">
        <v>0.14280731655722301</v>
      </c>
      <c r="R38">
        <v>0.145533793660448</v>
      </c>
      <c r="S38">
        <v>0.14805422768542101</v>
      </c>
      <c r="T38">
        <v>0.15046960933162501</v>
      </c>
      <c r="U38">
        <v>0.152319270076228</v>
      </c>
      <c r="V38">
        <v>0.15461944660233601</v>
      </c>
      <c r="W38">
        <v>0.15686795898165501</v>
      </c>
      <c r="X38">
        <v>0.15933856997811</v>
      </c>
      <c r="Y38">
        <v>0.161849384346234</v>
      </c>
      <c r="Z38">
        <v>0.16417543915100299</v>
      </c>
      <c r="AA38">
        <v>0.166578249265045</v>
      </c>
      <c r="AB38">
        <v>0.169145743102074</v>
      </c>
      <c r="AC38">
        <v>0.17181335947297099</v>
      </c>
      <c r="AD38">
        <v>0.174319837467483</v>
      </c>
      <c r="AE38">
        <v>0.17698296698963001</v>
      </c>
      <c r="AF38">
        <v>0.17970046157337</v>
      </c>
      <c r="AG38">
        <v>0.182433957672194</v>
      </c>
      <c r="AH38">
        <v>0.18517507003758099</v>
      </c>
      <c r="AI38">
        <v>0.188074439702792</v>
      </c>
      <c r="AJ38">
        <v>0.19106874818032901</v>
      </c>
      <c r="AK38">
        <v>0.19392928478719901</v>
      </c>
      <c r="AL38">
        <v>0.197035232134606</v>
      </c>
      <c r="AM38">
        <v>0.20028415268278901</v>
      </c>
      <c r="AO38" t="str">
        <f t="shared" si="31"/>
        <v>Baseline uncompeted_Commercial Chillers, 90.1 c. 2016</v>
      </c>
      <c r="AP38" s="111"/>
      <c r="AQ38" s="111"/>
      <c r="AR38" s="111"/>
      <c r="AS38" s="111"/>
      <c r="AT38" s="111"/>
      <c r="AU38" s="209"/>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row>
    <row r="39" spans="1:114" x14ac:dyDescent="0.3">
      <c r="A39" t="s">
        <v>785</v>
      </c>
      <c r="B39" t="s">
        <v>685</v>
      </c>
      <c r="C39" t="s">
        <v>746</v>
      </c>
      <c r="D39">
        <v>0.11366870600238101</v>
      </c>
      <c r="E39">
        <v>0.120998051097726</v>
      </c>
      <c r="F39">
        <v>9.8326286904732094E-2</v>
      </c>
      <c r="G39">
        <v>0.107099339362925</v>
      </c>
      <c r="H39">
        <v>9.9804895081177694E-2</v>
      </c>
      <c r="I39">
        <v>0.10965428088210701</v>
      </c>
      <c r="J39">
        <v>0.112458964183097</v>
      </c>
      <c r="K39">
        <v>0.114841107792619</v>
      </c>
      <c r="L39">
        <v>0.11697024888294399</v>
      </c>
      <c r="M39">
        <v>0.119174342642898</v>
      </c>
      <c r="N39">
        <v>0.120832032697351</v>
      </c>
      <c r="O39">
        <v>0.122638893917546</v>
      </c>
      <c r="P39">
        <v>0.124792437381702</v>
      </c>
      <c r="Q39">
        <v>0.127196340492855</v>
      </c>
      <c r="R39">
        <v>0.130040452760078</v>
      </c>
      <c r="S39">
        <v>0.132713188579618</v>
      </c>
      <c r="T39">
        <v>0.13529816872150099</v>
      </c>
      <c r="U39">
        <v>0.13737822503417199</v>
      </c>
      <c r="V39">
        <v>0.13986604633932601</v>
      </c>
      <c r="W39">
        <v>0.14230772272334799</v>
      </c>
      <c r="X39">
        <v>0.14495111720760701</v>
      </c>
      <c r="Y39">
        <v>0.147630473254624</v>
      </c>
      <c r="Z39">
        <v>0.15013997281159699</v>
      </c>
      <c r="AA39">
        <v>0.15271969625607601</v>
      </c>
      <c r="AB39">
        <v>0.15545104394025699</v>
      </c>
      <c r="AC39">
        <v>0.158296967403047</v>
      </c>
      <c r="AD39">
        <v>0.16101262453756399</v>
      </c>
      <c r="AE39">
        <v>0.16388100365594899</v>
      </c>
      <c r="AF39">
        <v>0.16680944128735001</v>
      </c>
      <c r="AG39">
        <v>0.16975854878541599</v>
      </c>
      <c r="AH39">
        <v>0.17271961894044399</v>
      </c>
      <c r="AI39">
        <v>0.175832269293203</v>
      </c>
      <c r="AJ39">
        <v>0.17903466395933201</v>
      </c>
      <c r="AK39">
        <v>0.18211252858019</v>
      </c>
      <c r="AL39">
        <v>0.185420082264075</v>
      </c>
      <c r="AM39">
        <v>0.18885998136254001</v>
      </c>
      <c r="AO39" t="str">
        <f t="shared" si="31"/>
        <v>Efficient uncompeted_Commercial Chillers, 90.1 c. 2016</v>
      </c>
      <c r="AP39" s="111">
        <f t="shared" ref="AP39:BY39" si="36">(D38-D39)*293071083333.33</f>
        <v>0</v>
      </c>
      <c r="AQ39" s="111">
        <f t="shared" si="36"/>
        <v>0</v>
      </c>
      <c r="AR39" s="111">
        <f t="shared" si="36"/>
        <v>4905842675.8140478</v>
      </c>
      <c r="AS39" s="111">
        <f t="shared" si="36"/>
        <v>5183608355.3578262</v>
      </c>
      <c r="AT39" s="111">
        <f t="shared" si="36"/>
        <v>4681381389.4767275</v>
      </c>
      <c r="AU39" s="209">
        <f t="shared" si="36"/>
        <v>4996067079.1442957</v>
      </c>
      <c r="AV39" s="111">
        <f t="shared" si="36"/>
        <v>4975990728.8881292</v>
      </c>
      <c r="AW39" s="111">
        <f t="shared" si="36"/>
        <v>4932946280.571928</v>
      </c>
      <c r="AX39" s="111">
        <f t="shared" si="36"/>
        <v>4878120628.7473574</v>
      </c>
      <c r="AY39" s="111">
        <f t="shared" si="36"/>
        <v>4826146245.0725155</v>
      </c>
      <c r="AZ39" s="111">
        <f t="shared" si="36"/>
        <v>4750106169.6965046</v>
      </c>
      <c r="BA39" s="111">
        <f t="shared" si="36"/>
        <v>4681557805.2989435</v>
      </c>
      <c r="BB39" s="111">
        <f t="shared" si="36"/>
        <v>4624514422.6374283</v>
      </c>
      <c r="BC39" s="111">
        <f t="shared" si="36"/>
        <v>4575125667.075017</v>
      </c>
      <c r="BD39" s="111">
        <f t="shared" si="36"/>
        <v>4540650202.1240253</v>
      </c>
      <c r="BE39" s="111">
        <f t="shared" si="36"/>
        <v>4496014950.1966677</v>
      </c>
      <c r="BF39" s="111">
        <f t="shared" si="36"/>
        <v>4446310535.3363228</v>
      </c>
      <c r="BG39" s="111">
        <f t="shared" si="36"/>
        <v>4378788256.6074343</v>
      </c>
      <c r="BH39" s="111">
        <f t="shared" si="36"/>
        <v>4323794997.9305773</v>
      </c>
      <c r="BI39" s="111">
        <f t="shared" si="36"/>
        <v>4267184213.8112698</v>
      </c>
      <c r="BJ39" s="111">
        <f t="shared" si="36"/>
        <v>4216546369.8584313</v>
      </c>
      <c r="BK39" s="111">
        <f t="shared" si="36"/>
        <v>4167151677.4384441</v>
      </c>
      <c r="BL39" s="111">
        <f t="shared" si="36"/>
        <v>4113389325.1782041</v>
      </c>
      <c r="BM39" s="111">
        <f t="shared" si="36"/>
        <v>4061541143.7709217</v>
      </c>
      <c r="BN39" s="111">
        <f t="shared" si="36"/>
        <v>4013520319.2777572</v>
      </c>
      <c r="BO39" s="111">
        <f t="shared" si="36"/>
        <v>3961263666.6906576</v>
      </c>
      <c r="BP39" s="111">
        <f t="shared" si="36"/>
        <v>3899959309.5186625</v>
      </c>
      <c r="BQ39" s="111">
        <f t="shared" si="36"/>
        <v>3839806587.9954648</v>
      </c>
      <c r="BR39" s="111">
        <f t="shared" si="36"/>
        <v>3777985280.4958119</v>
      </c>
      <c r="BS39" s="111">
        <f t="shared" si="36"/>
        <v>3714795814.1409502</v>
      </c>
      <c r="BT39" s="111">
        <f t="shared" si="36"/>
        <v>3650332546.4432545</v>
      </c>
      <c r="BU39" s="111">
        <f t="shared" si="36"/>
        <v>3587826144.289484</v>
      </c>
      <c r="BV39" s="111">
        <f t="shared" si="36"/>
        <v>3526842099.5721235</v>
      </c>
      <c r="BW39" s="111">
        <f t="shared" si="36"/>
        <v>3463149543.0739808</v>
      </c>
      <c r="BX39" s="111">
        <f t="shared" si="36"/>
        <v>3404064555.6355081</v>
      </c>
      <c r="BY39" s="111">
        <f t="shared" si="36"/>
        <v>3348094265.0109348</v>
      </c>
      <c r="CA39" s="9">
        <f t="shared" ref="CA39:DJ39" si="37">(D38-D39)/D38</f>
        <v>0</v>
      </c>
      <c r="CB39" s="9">
        <f t="shared" si="37"/>
        <v>0</v>
      </c>
      <c r="CC39" s="9">
        <f t="shared" si="37"/>
        <v>0.14547712248152772</v>
      </c>
      <c r="CD39" s="9">
        <f t="shared" si="37"/>
        <v>0.14173968165500705</v>
      </c>
      <c r="CE39" s="9">
        <f t="shared" si="37"/>
        <v>0.13796642021490291</v>
      </c>
      <c r="CF39" s="9">
        <f t="shared" si="37"/>
        <v>0.13454677716754987</v>
      </c>
      <c r="CG39" s="9">
        <f t="shared" si="37"/>
        <v>0.13117335985419021</v>
      </c>
      <c r="CH39" s="9">
        <f t="shared" si="37"/>
        <v>0.12783112914626363</v>
      </c>
      <c r="CI39" s="9">
        <f t="shared" si="37"/>
        <v>0.12457304157651233</v>
      </c>
      <c r="CJ39" s="9">
        <f t="shared" si="37"/>
        <v>0.1214042379830424</v>
      </c>
      <c r="CK39" s="9">
        <f t="shared" si="37"/>
        <v>0.11827222980252394</v>
      </c>
      <c r="CL39" s="9">
        <f t="shared" si="37"/>
        <v>0.11524268249273338</v>
      </c>
      <c r="CM39" s="9">
        <f t="shared" si="37"/>
        <v>0.11225211846681285</v>
      </c>
      <c r="CN39" s="9">
        <f t="shared" si="37"/>
        <v>0.10931495977037478</v>
      </c>
      <c r="CO39" s="9">
        <f t="shared" si="37"/>
        <v>0.10645871663675768</v>
      </c>
      <c r="CP39" s="9">
        <f t="shared" si="37"/>
        <v>0.10361770376729099</v>
      </c>
      <c r="CQ39" s="9">
        <f t="shared" si="37"/>
        <v>0.10082727454078232</v>
      </c>
      <c r="CR39" s="9">
        <f t="shared" si="37"/>
        <v>9.8090314078965735E-2</v>
      </c>
      <c r="CS39" s="9">
        <f t="shared" si="37"/>
        <v>9.5417494934864858E-2</v>
      </c>
      <c r="CT39" s="9">
        <f t="shared" si="37"/>
        <v>9.2818421000873549E-2</v>
      </c>
      <c r="CU39" s="9">
        <f t="shared" si="37"/>
        <v>9.0294853107314471E-2</v>
      </c>
      <c r="CV39" s="9">
        <f t="shared" si="37"/>
        <v>8.7852735115707292E-2</v>
      </c>
      <c r="CW39" s="9">
        <f t="shared" si="37"/>
        <v>8.5490658115411858E-2</v>
      </c>
      <c r="CX39" s="9">
        <f t="shared" si="37"/>
        <v>8.3195453608822897E-2</v>
      </c>
      <c r="CY39" s="9">
        <f t="shared" si="37"/>
        <v>8.0963900779653084E-2</v>
      </c>
      <c r="CZ39" s="9">
        <f t="shared" si="37"/>
        <v>7.8669040122286565E-2</v>
      </c>
      <c r="DA39" s="9">
        <f t="shared" si="37"/>
        <v>7.6337914968520409E-2</v>
      </c>
      <c r="DB39" s="9">
        <f t="shared" si="37"/>
        <v>7.4029515701636461E-2</v>
      </c>
      <c r="DC39" s="9">
        <f t="shared" si="37"/>
        <v>7.1736155673460561E-2</v>
      </c>
      <c r="DD39" s="9">
        <f t="shared" si="37"/>
        <v>6.9479438195129153E-2</v>
      </c>
      <c r="DE39" s="9">
        <f t="shared" si="37"/>
        <v>6.7263109956481645E-2</v>
      </c>
      <c r="DF39" s="9">
        <f t="shared" si="37"/>
        <v>6.5092154090342677E-2</v>
      </c>
      <c r="DG39" s="9">
        <f t="shared" si="37"/>
        <v>6.2983006564942448E-2</v>
      </c>
      <c r="DH39" s="9">
        <f t="shared" si="37"/>
        <v>6.0933325361229876E-2</v>
      </c>
      <c r="DI39" s="9">
        <f t="shared" si="37"/>
        <v>5.8949608883126184E-2</v>
      </c>
      <c r="DJ39" s="9">
        <f t="shared" si="37"/>
        <v>5.7039816516799818E-2</v>
      </c>
    </row>
    <row r="40" spans="1:114" x14ac:dyDescent="0.3">
      <c r="A40" t="s">
        <v>784</v>
      </c>
      <c r="B40" t="s">
        <v>686</v>
      </c>
      <c r="C40" t="s">
        <v>22</v>
      </c>
      <c r="D40">
        <v>8.1755339499999996E-2</v>
      </c>
      <c r="E40">
        <v>8.4071122799999995E-2</v>
      </c>
      <c r="F40">
        <v>8.5088139500000007E-2</v>
      </c>
      <c r="G40">
        <v>8.6336642500000005E-2</v>
      </c>
      <c r="H40">
        <v>8.7456534200000005E-2</v>
      </c>
      <c r="I40">
        <v>8.8342426099999996E-2</v>
      </c>
      <c r="J40">
        <v>8.8953977700000006E-2</v>
      </c>
      <c r="K40">
        <v>8.9432380300000003E-2</v>
      </c>
      <c r="L40">
        <v>8.9738845600000006E-2</v>
      </c>
      <c r="M40">
        <v>8.9912776599999994E-2</v>
      </c>
      <c r="N40">
        <v>9.0131241900000006E-2</v>
      </c>
      <c r="O40">
        <v>9.0598574000000001E-2</v>
      </c>
      <c r="P40">
        <v>9.1301864100000005E-2</v>
      </c>
      <c r="Q40">
        <v>9.2097228000000003E-2</v>
      </c>
      <c r="R40">
        <v>9.2921589200000002E-2</v>
      </c>
      <c r="S40">
        <v>9.3782125999999993E-2</v>
      </c>
      <c r="T40">
        <v>9.4715410099999994E-2</v>
      </c>
      <c r="U40">
        <v>9.5574083399999996E-2</v>
      </c>
      <c r="V40">
        <v>9.6380603999999995E-2</v>
      </c>
      <c r="W40">
        <v>9.7207407300000007E-2</v>
      </c>
      <c r="X40">
        <v>9.8053280000000007E-2</v>
      </c>
      <c r="Y40">
        <v>9.8876612500000002E-2</v>
      </c>
      <c r="Z40">
        <v>9.9684386900000005E-2</v>
      </c>
      <c r="AA40">
        <v>0.1005448406</v>
      </c>
      <c r="AB40">
        <v>0.1014310075</v>
      </c>
      <c r="AC40">
        <v>0.1023005698</v>
      </c>
      <c r="AD40">
        <v>0.103193479</v>
      </c>
      <c r="AE40">
        <v>0.10407107779999999</v>
      </c>
      <c r="AF40">
        <v>0.10490496370000001</v>
      </c>
      <c r="AG40">
        <v>0.1057201131</v>
      </c>
      <c r="AH40">
        <v>0.1065230264</v>
      </c>
      <c r="AI40">
        <v>0.1073353289</v>
      </c>
      <c r="AJ40">
        <v>0.1081527009</v>
      </c>
      <c r="AK40">
        <v>0.108931631</v>
      </c>
      <c r="AL40">
        <v>0.1096463543</v>
      </c>
      <c r="AM40">
        <v>0.11037302340000001</v>
      </c>
      <c r="AO40" t="str">
        <f t="shared" si="31"/>
        <v>Baseline uncompeted_Commercial Elec. WH, 90.1 c. 2016 (FS)</v>
      </c>
      <c r="AP40" s="111"/>
      <c r="AQ40" s="111"/>
      <c r="AR40" s="111"/>
      <c r="AS40" s="111"/>
      <c r="AT40" s="111"/>
      <c r="AU40" s="209"/>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row>
    <row r="41" spans="1:114" x14ac:dyDescent="0.3">
      <c r="A41" t="s">
        <v>784</v>
      </c>
      <c r="B41" t="s">
        <v>685</v>
      </c>
      <c r="C41" t="s">
        <v>22</v>
      </c>
      <c r="D41">
        <v>8.1755339499999996E-2</v>
      </c>
      <c r="E41">
        <v>0.21904597607794099</v>
      </c>
      <c r="F41">
        <v>0.219826472855815</v>
      </c>
      <c r="G41">
        <v>0.22168127045703101</v>
      </c>
      <c r="H41">
        <v>0.22355507622498699</v>
      </c>
      <c r="I41">
        <v>0.22459320843497199</v>
      </c>
      <c r="J41">
        <v>0.22377403588237199</v>
      </c>
      <c r="K41">
        <v>0.22296535925229499</v>
      </c>
      <c r="L41">
        <v>0.22223420961058199</v>
      </c>
      <c r="M41">
        <v>0.222276272498524</v>
      </c>
      <c r="N41">
        <v>0.22184884610298999</v>
      </c>
      <c r="O41">
        <v>0.22223899883517301</v>
      </c>
      <c r="P41">
        <v>0.22346204239693801</v>
      </c>
      <c r="Q41">
        <v>0.22507997175254299</v>
      </c>
      <c r="R41">
        <v>0.22736148224063699</v>
      </c>
      <c r="S41">
        <v>0.229479535062492</v>
      </c>
      <c r="T41">
        <v>0.23152266754085599</v>
      </c>
      <c r="U41">
        <v>0.232592025642856</v>
      </c>
      <c r="V41">
        <v>0.23428975428378501</v>
      </c>
      <c r="W41">
        <v>0.235788635589086</v>
      </c>
      <c r="X41">
        <v>0.23772587507016099</v>
      </c>
      <c r="Y41">
        <v>0.23981306019130799</v>
      </c>
      <c r="Z41">
        <v>0.24150855033000901</v>
      </c>
      <c r="AA41">
        <v>0.243428581370809</v>
      </c>
      <c r="AB41">
        <v>0.24550870844650199</v>
      </c>
      <c r="AC41">
        <v>0.24744048403944099</v>
      </c>
      <c r="AD41">
        <v>0.24931401209899801</v>
      </c>
      <c r="AE41">
        <v>0.25106849948753501</v>
      </c>
      <c r="AF41">
        <v>0.25275793692131499</v>
      </c>
      <c r="AG41">
        <v>0.25440754110618202</v>
      </c>
      <c r="AH41">
        <v>0.25601257279273898</v>
      </c>
      <c r="AI41">
        <v>0.25769083023610301</v>
      </c>
      <c r="AJ41">
        <v>0.25957420789619001</v>
      </c>
      <c r="AK41">
        <v>0.26121539122363602</v>
      </c>
      <c r="AL41">
        <v>0.26280287084999898</v>
      </c>
      <c r="AM41">
        <v>0.26427188407428898</v>
      </c>
      <c r="AO41" t="str">
        <f t="shared" si="31"/>
        <v>Efficient uncompeted_Commercial Elec. WH, 90.1 c. 2016 (FS)</v>
      </c>
      <c r="AP41" s="111">
        <f t="shared" ref="AP41:BY41" si="38">(D40-D41)*293071083333.33</f>
        <v>0</v>
      </c>
      <c r="AQ41" s="111">
        <f t="shared" si="38"/>
        <v>-39557226472.923439</v>
      </c>
      <c r="AR41" s="111">
        <f t="shared" si="38"/>
        <v>-39487909323.116051</v>
      </c>
      <c r="AS41" s="111">
        <f t="shared" si="38"/>
        <v>-39665596738.713585</v>
      </c>
      <c r="AT41" s="111">
        <f t="shared" si="38"/>
        <v>-39886547151.349686</v>
      </c>
      <c r="AU41" s="209">
        <f t="shared" si="38"/>
        <v>-39931164383.923988</v>
      </c>
      <c r="AV41" s="111">
        <f t="shared" si="38"/>
        <v>-39511860506.570335</v>
      </c>
      <c r="AW41" s="111">
        <f t="shared" si="38"/>
        <v>-39134654802.275848</v>
      </c>
      <c r="AX41" s="111">
        <f t="shared" si="38"/>
        <v>-38830559867.225166</v>
      </c>
      <c r="AY41" s="111">
        <f t="shared" si="38"/>
        <v>-38791913136.767212</v>
      </c>
      <c r="AZ41" s="111">
        <f t="shared" si="38"/>
        <v>-38602620957.841064</v>
      </c>
      <c r="BA41" s="111">
        <f t="shared" si="38"/>
        <v>-38580001916.903961</v>
      </c>
      <c r="BB41" s="111">
        <f t="shared" si="38"/>
        <v>-38732326627.009666</v>
      </c>
      <c r="BC41" s="111">
        <f t="shared" si="38"/>
        <v>-38973396776.196396</v>
      </c>
      <c r="BD41" s="111">
        <f t="shared" si="38"/>
        <v>-39400445096.63649</v>
      </c>
      <c r="BE41" s="111">
        <f t="shared" si="38"/>
        <v>-39768986679.470566</v>
      </c>
      <c r="BF41" s="111">
        <f t="shared" si="38"/>
        <v>-40094251146.053436</v>
      </c>
      <c r="BG41" s="111">
        <f t="shared" si="38"/>
        <v>-40155996769.217453</v>
      </c>
      <c r="BH41" s="111">
        <f t="shared" si="38"/>
        <v>-40417184075.247894</v>
      </c>
      <c r="BI41" s="111">
        <f t="shared" si="38"/>
        <v>-40614150704.345947</v>
      </c>
      <c r="BJ41" s="111">
        <f t="shared" si="38"/>
        <v>-40933998749.189613</v>
      </c>
      <c r="BK41" s="111">
        <f t="shared" si="38"/>
        <v>-41304397406.042824</v>
      </c>
      <c r="BL41" s="111">
        <f t="shared" si="38"/>
        <v>-41564561219.275986</v>
      </c>
      <c r="BM41" s="111">
        <f t="shared" si="38"/>
        <v>-41875092698.419693</v>
      </c>
      <c r="BN41" s="111">
        <f t="shared" si="38"/>
        <v>-42225007900.566887</v>
      </c>
      <c r="BO41" s="111">
        <f t="shared" si="38"/>
        <v>-42536311901.059586</v>
      </c>
      <c r="BP41" s="111">
        <f t="shared" si="38"/>
        <v>-42823702932.567047</v>
      </c>
      <c r="BQ41" s="111">
        <f t="shared" si="38"/>
        <v>-43080693621.172226</v>
      </c>
      <c r="BR41" s="111">
        <f t="shared" si="38"/>
        <v>-43331431036.024612</v>
      </c>
      <c r="BS41" s="111">
        <f t="shared" si="38"/>
        <v>-43575985603.818275</v>
      </c>
      <c r="BT41" s="111">
        <f t="shared" si="38"/>
        <v>-43811063308.32811</v>
      </c>
      <c r="BU41" s="111">
        <f t="shared" si="38"/>
        <v>-44064849661.697655</v>
      </c>
      <c r="BV41" s="111">
        <f t="shared" si="38"/>
        <v>-44377265095.338814</v>
      </c>
      <c r="BW41" s="111">
        <f t="shared" si="38"/>
        <v>-44629966582.814079</v>
      </c>
      <c r="BX41" s="111">
        <f t="shared" si="38"/>
        <v>-44885746224.867287</v>
      </c>
      <c r="BY41" s="111">
        <f t="shared" si="38"/>
        <v>-45103305821.579094</v>
      </c>
      <c r="CA41" s="9">
        <f t="shared" ref="CA41:DJ41" si="39">(D40-D41)/D40</f>
        <v>0</v>
      </c>
      <c r="CB41" s="9">
        <f t="shared" si="39"/>
        <v>-1.6054841279928882</v>
      </c>
      <c r="CC41" s="9">
        <f t="shared" si="39"/>
        <v>-1.5835148605619114</v>
      </c>
      <c r="CD41" s="9">
        <f t="shared" si="39"/>
        <v>-1.5676383055668512</v>
      </c>
      <c r="CE41" s="9">
        <f t="shared" si="39"/>
        <v>-1.5561849468417077</v>
      </c>
      <c r="CF41" s="9">
        <f t="shared" si="39"/>
        <v>-1.5423029268037276</v>
      </c>
      <c r="CG41" s="9">
        <f t="shared" si="39"/>
        <v>-1.5156158461744871</v>
      </c>
      <c r="CH41" s="9">
        <f t="shared" si="39"/>
        <v>-1.4931166821721615</v>
      </c>
      <c r="CI41" s="9">
        <f t="shared" si="39"/>
        <v>-1.4764549635635382</v>
      </c>
      <c r="CJ41" s="9">
        <f t="shared" si="39"/>
        <v>-1.4721322252940414</v>
      </c>
      <c r="CK41" s="9">
        <f t="shared" si="39"/>
        <v>-1.4613978618993155</v>
      </c>
      <c r="CL41" s="9">
        <f t="shared" si="39"/>
        <v>-1.4530076912156809</v>
      </c>
      <c r="CM41" s="9">
        <f t="shared" si="39"/>
        <v>-1.4475079955890844</v>
      </c>
      <c r="CN41" s="9">
        <f t="shared" si="39"/>
        <v>-1.4439386140106516</v>
      </c>
      <c r="CO41" s="9">
        <f t="shared" si="39"/>
        <v>-1.4468100922302884</v>
      </c>
      <c r="CP41" s="9">
        <f t="shared" si="39"/>
        <v>-1.4469431953642427</v>
      </c>
      <c r="CQ41" s="9">
        <f t="shared" si="39"/>
        <v>-1.444403368959873</v>
      </c>
      <c r="CR41" s="9">
        <f t="shared" si="39"/>
        <v>-1.4336307225610916</v>
      </c>
      <c r="CS41" s="9">
        <f t="shared" si="39"/>
        <v>-1.4308807432228277</v>
      </c>
      <c r="CT41" s="9">
        <f t="shared" si="39"/>
        <v>-1.4256241590869585</v>
      </c>
      <c r="CU41" s="9">
        <f t="shared" si="39"/>
        <v>-1.4244561229380699</v>
      </c>
      <c r="CV41" s="9">
        <f t="shared" si="39"/>
        <v>-1.4253769837767043</v>
      </c>
      <c r="CW41" s="9">
        <f t="shared" si="39"/>
        <v>-1.4227319627524238</v>
      </c>
      <c r="CX41" s="9">
        <f t="shared" si="39"/>
        <v>-1.4210947067810957</v>
      </c>
      <c r="CY41" s="9">
        <f t="shared" si="39"/>
        <v>-1.4204502597147326</v>
      </c>
      <c r="CZ41" s="9">
        <f t="shared" si="39"/>
        <v>-1.4187595877832637</v>
      </c>
      <c r="DA41" s="9">
        <f t="shared" si="39"/>
        <v>-1.4159861118646653</v>
      </c>
      <c r="DB41" s="9">
        <f t="shared" si="39"/>
        <v>-1.4124714069938749</v>
      </c>
      <c r="DC41" s="9">
        <f t="shared" si="39"/>
        <v>-1.4093992124541859</v>
      </c>
      <c r="DD41" s="9">
        <f t="shared" si="39"/>
        <v>-1.4064251696887564</v>
      </c>
      <c r="DE41" s="9">
        <f t="shared" si="39"/>
        <v>-1.4033542929150105</v>
      </c>
      <c r="DF41" s="9">
        <f t="shared" si="39"/>
        <v>-1.4008016081655945</v>
      </c>
      <c r="DG41" s="9">
        <f t="shared" si="39"/>
        <v>-1.400071433594591</v>
      </c>
      <c r="DH41" s="9">
        <f t="shared" si="39"/>
        <v>-1.3979755817998907</v>
      </c>
      <c r="DI41" s="9">
        <f t="shared" si="39"/>
        <v>-1.3968226990106043</v>
      </c>
      <c r="DJ41" s="9">
        <f t="shared" si="39"/>
        <v>-1.3943521336418241</v>
      </c>
    </row>
    <row r="42" spans="1:114" x14ac:dyDescent="0.3">
      <c r="A42" t="s">
        <v>783</v>
      </c>
      <c r="B42" t="s">
        <v>686</v>
      </c>
      <c r="C42" t="s">
        <v>22</v>
      </c>
      <c r="D42">
        <v>1.6997072700000001E-2</v>
      </c>
      <c r="E42">
        <v>1.6789534799999999E-2</v>
      </c>
      <c r="F42">
        <v>1.6415748160014201E-2</v>
      </c>
      <c r="G42">
        <v>1.6050723877983199E-2</v>
      </c>
      <c r="H42">
        <v>1.5634331772947999E-2</v>
      </c>
      <c r="I42">
        <v>1.5300191426475099E-2</v>
      </c>
      <c r="J42">
        <v>1.49143074938643E-2</v>
      </c>
      <c r="K42">
        <v>1.4597436136620401E-2</v>
      </c>
      <c r="L42">
        <v>1.4323737594843599E-2</v>
      </c>
      <c r="M42">
        <v>1.40855282114922E-2</v>
      </c>
      <c r="N42">
        <v>1.3801246255147901E-2</v>
      </c>
      <c r="O42">
        <v>1.35421574085842E-2</v>
      </c>
      <c r="P42">
        <v>1.33261130960652E-2</v>
      </c>
      <c r="Q42">
        <v>1.3138393757535199E-2</v>
      </c>
      <c r="R42">
        <v>1.3001617950020999E-2</v>
      </c>
      <c r="S42">
        <v>1.2856922671901701E-2</v>
      </c>
      <c r="T42">
        <v>1.26988252467835E-2</v>
      </c>
      <c r="U42">
        <v>1.2499616636162499E-2</v>
      </c>
      <c r="V42">
        <v>1.2344048338424601E-2</v>
      </c>
      <c r="W42">
        <v>1.21802474839689E-2</v>
      </c>
      <c r="X42">
        <v>1.2040225808490001E-2</v>
      </c>
      <c r="Y42">
        <v>1.1909890676133E-2</v>
      </c>
      <c r="Z42">
        <v>1.1758127164559999E-2</v>
      </c>
      <c r="AA42">
        <v>1.1622495586427599E-2</v>
      </c>
      <c r="AB42">
        <v>1.14971240960674E-2</v>
      </c>
      <c r="AC42">
        <v>1.13824876159342E-2</v>
      </c>
      <c r="AD42">
        <v>1.12537249056208E-2</v>
      </c>
      <c r="AE42">
        <v>1.1132426140688E-2</v>
      </c>
      <c r="AF42">
        <v>1.1014817974925799E-2</v>
      </c>
      <c r="AG42">
        <v>1.09019191828316E-2</v>
      </c>
      <c r="AH42">
        <v>1.07889471269321E-2</v>
      </c>
      <c r="AI42">
        <v>1.0681308640024201E-2</v>
      </c>
      <c r="AJ42">
        <v>1.0578809997944E-2</v>
      </c>
      <c r="AK42">
        <v>1.0471071103501499E-2</v>
      </c>
      <c r="AL42">
        <v>1.0379238381050201E-2</v>
      </c>
      <c r="AM42">
        <v>1.0280477713879599E-2</v>
      </c>
      <c r="AO42" t="str">
        <f t="shared" si="31"/>
        <v>Baseline uncompeted_Commercial Electric WH, 90.1 c. 2016</v>
      </c>
      <c r="AP42" s="111"/>
      <c r="AQ42" s="111"/>
      <c r="AR42" s="111"/>
      <c r="AS42" s="111"/>
      <c r="AT42" s="111"/>
      <c r="AU42" s="209"/>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row>
    <row r="43" spans="1:114" x14ac:dyDescent="0.3">
      <c r="A43" t="s">
        <v>783</v>
      </c>
      <c r="B43" t="s">
        <v>685</v>
      </c>
      <c r="C43" t="s">
        <v>22</v>
      </c>
      <c r="D43">
        <v>1.6997072700000001E-2</v>
      </c>
      <c r="E43">
        <v>2.09703400920471E-2</v>
      </c>
      <c r="F43">
        <v>2.1116480557231102E-2</v>
      </c>
      <c r="G43">
        <v>2.1252611075980001E-2</v>
      </c>
      <c r="H43">
        <v>2.1266235045680201E-2</v>
      </c>
      <c r="I43">
        <v>2.1318200920876201E-2</v>
      </c>
      <c r="J43">
        <v>2.12468609476992E-2</v>
      </c>
      <c r="K43">
        <v>2.11173745841685E-2</v>
      </c>
      <c r="L43">
        <v>2.0958748378352599E-2</v>
      </c>
      <c r="M43">
        <v>2.0863739319291599E-2</v>
      </c>
      <c r="N43">
        <v>2.06734583249456E-2</v>
      </c>
      <c r="O43">
        <v>2.0523715182228099E-2</v>
      </c>
      <c r="P43">
        <v>2.0387024127095199E-2</v>
      </c>
      <c r="Q43">
        <v>2.03214974146875E-2</v>
      </c>
      <c r="R43">
        <v>2.0305605176937701E-2</v>
      </c>
      <c r="S43">
        <v>2.0273605159799798E-2</v>
      </c>
      <c r="T43">
        <v>2.0208087203105601E-2</v>
      </c>
      <c r="U43">
        <v>2.0056242483051701E-2</v>
      </c>
      <c r="V43">
        <v>1.9978949749184901E-2</v>
      </c>
      <c r="W43">
        <v>1.9868890650829901E-2</v>
      </c>
      <c r="X43">
        <v>1.9809019988055399E-2</v>
      </c>
      <c r="Y43">
        <v>1.97707579102612E-2</v>
      </c>
      <c r="Z43">
        <v>1.9689823129004198E-2</v>
      </c>
      <c r="AA43">
        <v>1.96160127358289E-2</v>
      </c>
      <c r="AB43">
        <v>1.9571358523625501E-2</v>
      </c>
      <c r="AC43">
        <v>1.9524643452491299E-2</v>
      </c>
      <c r="AD43">
        <v>1.9454975524026301E-2</v>
      </c>
      <c r="AE43">
        <v>1.9368071379635199E-2</v>
      </c>
      <c r="AF43">
        <v>1.9296457344118102E-2</v>
      </c>
      <c r="AG43">
        <v>1.9231082276914498E-2</v>
      </c>
      <c r="AH43">
        <v>1.9157444516702499E-2</v>
      </c>
      <c r="AI43">
        <v>1.9083259592654899E-2</v>
      </c>
      <c r="AJ43">
        <v>1.9012901385093699E-2</v>
      </c>
      <c r="AK43">
        <v>1.8928124659654901E-2</v>
      </c>
      <c r="AL43">
        <v>1.8871814222180899E-2</v>
      </c>
      <c r="AM43">
        <v>1.8800106200641299E-2</v>
      </c>
      <c r="AO43" t="str">
        <f t="shared" si="31"/>
        <v>Efficient uncompeted_Commercial Electric WH, 90.1 c. 2016</v>
      </c>
      <c r="AP43" s="111">
        <f t="shared" ref="AP43:BY43" si="40">(D42-D43)*293071083333.33</f>
        <v>0</v>
      </c>
      <c r="AQ43" s="111">
        <f t="shared" si="40"/>
        <v>-1225273136.1459632</v>
      </c>
      <c r="AR43" s="111">
        <f t="shared" si="40"/>
        <v>-1377648736.1124384</v>
      </c>
      <c r="AS43" s="111">
        <f t="shared" si="40"/>
        <v>-1524522716.4947033</v>
      </c>
      <c r="AT43" s="111">
        <f t="shared" si="40"/>
        <v>-1650547993.3681533</v>
      </c>
      <c r="AU43" s="209">
        <f t="shared" si="40"/>
        <v>-1763704562.0343964</v>
      </c>
      <c r="AV43" s="111">
        <f t="shared" si="40"/>
        <v>-1855888300.9816146</v>
      </c>
      <c r="AW43" s="111">
        <f t="shared" si="40"/>
        <v>-1910805424.0895512</v>
      </c>
      <c r="AX43" s="111">
        <f t="shared" si="40"/>
        <v>-1944529798.2513092</v>
      </c>
      <c r="AY43" s="111">
        <f t="shared" si="40"/>
        <v>-1986497672.4247808</v>
      </c>
      <c r="AZ43" s="111">
        <f t="shared" si="40"/>
        <v>-2014046636.191998</v>
      </c>
      <c r="BA43" s="111">
        <f t="shared" si="40"/>
        <v>-2046092700.0760489</v>
      </c>
      <c r="BB43" s="111">
        <f t="shared" si="40"/>
        <v>-2069348845.1842222</v>
      </c>
      <c r="BC43" s="111">
        <f t="shared" si="40"/>
        <v>-2105159970.4972296</v>
      </c>
      <c r="BD43" s="111">
        <f t="shared" si="40"/>
        <v>-2140587449.2452829</v>
      </c>
      <c r="BE43" s="111">
        <f t="shared" si="40"/>
        <v>-2173615171.4676328</v>
      </c>
      <c r="BF43" s="111">
        <f t="shared" si="40"/>
        <v>-2200747536.5730791</v>
      </c>
      <c r="BG43" s="111">
        <f t="shared" si="40"/>
        <v>-2214628523.2924609</v>
      </c>
      <c r="BH43" s="111">
        <f t="shared" si="40"/>
        <v>-2237568827.5946908</v>
      </c>
      <c r="BI43" s="111">
        <f t="shared" si="40"/>
        <v>-2253318982.2753587</v>
      </c>
      <c r="BJ43" s="111">
        <f t="shared" si="40"/>
        <v>-2276808926.3989</v>
      </c>
      <c r="BK43" s="111">
        <f t="shared" si="40"/>
        <v>-2303792876.245429</v>
      </c>
      <c r="BL43" s="111">
        <f t="shared" si="40"/>
        <v>-2324550728.970263</v>
      </c>
      <c r="BM43" s="111">
        <f t="shared" si="40"/>
        <v>-2342668730.6185913</v>
      </c>
      <c r="BN43" s="111">
        <f t="shared" si="40"/>
        <v>-2366324630.7717223</v>
      </c>
      <c r="BO43" s="111">
        <f t="shared" si="40"/>
        <v>-2386230431.6885853</v>
      </c>
      <c r="BP43" s="111">
        <f t="shared" si="40"/>
        <v>-2403549403.424243</v>
      </c>
      <c r="BQ43" s="111">
        <f t="shared" si="40"/>
        <v>-2413629472.1272368</v>
      </c>
      <c r="BR43" s="111">
        <f t="shared" si="40"/>
        <v>-2427109021.7051439</v>
      </c>
      <c r="BS43" s="111">
        <f t="shared" si="40"/>
        <v>-2441036851.242866</v>
      </c>
      <c r="BT43" s="111">
        <f t="shared" si="40"/>
        <v>-2452564595.8921552</v>
      </c>
      <c r="BU43" s="111">
        <f t="shared" si="40"/>
        <v>-2462368867.800983</v>
      </c>
      <c r="BV43" s="111">
        <f t="shared" si="40"/>
        <v>-2471788299.7642703</v>
      </c>
      <c r="BW43" s="111">
        <f t="shared" si="40"/>
        <v>-2478517847.5098686</v>
      </c>
      <c r="BX43" s="111">
        <f t="shared" si="40"/>
        <v>-2488928402.0506401</v>
      </c>
      <c r="BY43" s="111">
        <f t="shared" si="40"/>
        <v>-2496856750.2127504</v>
      </c>
      <c r="CA43" s="9">
        <f t="shared" ref="CA43:DJ43" si="41">(D42-D43)/D42</f>
        <v>0</v>
      </c>
      <c r="CB43" s="9">
        <f t="shared" si="41"/>
        <v>-0.24901257490750139</v>
      </c>
      <c r="CC43" s="9">
        <f t="shared" si="41"/>
        <v>-0.28635505073518591</v>
      </c>
      <c r="CD43" s="9">
        <f t="shared" si="41"/>
        <v>-0.32409050442467818</v>
      </c>
      <c r="CE43" s="9">
        <f t="shared" si="41"/>
        <v>-0.36022667003121006</v>
      </c>
      <c r="CF43" s="9">
        <f t="shared" si="41"/>
        <v>-0.39332903273273273</v>
      </c>
      <c r="CG43" s="9">
        <f t="shared" si="41"/>
        <v>-0.42459587590239056</v>
      </c>
      <c r="CH43" s="9">
        <f t="shared" si="41"/>
        <v>-0.44664956137000061</v>
      </c>
      <c r="CI43" s="9">
        <f t="shared" si="41"/>
        <v>-0.46321783958800922</v>
      </c>
      <c r="CJ43" s="9">
        <f t="shared" si="41"/>
        <v>-0.48121809889025985</v>
      </c>
      <c r="CK43" s="9">
        <f t="shared" si="41"/>
        <v>-0.49794141360490157</v>
      </c>
      <c r="CL43" s="9">
        <f t="shared" si="41"/>
        <v>-0.51554250648558986</v>
      </c>
      <c r="CM43" s="9">
        <f t="shared" si="41"/>
        <v>-0.52985525337578543</v>
      </c>
      <c r="CN43" s="9">
        <f t="shared" si="41"/>
        <v>-0.54672616681415953</v>
      </c>
      <c r="CO43" s="9">
        <f t="shared" si="41"/>
        <v>-0.56177525404866291</v>
      </c>
      <c r="CP43" s="9">
        <f t="shared" si="41"/>
        <v>-0.57686296146954086</v>
      </c>
      <c r="CQ43" s="9">
        <f t="shared" si="41"/>
        <v>-0.59133516765451433</v>
      </c>
      <c r="CR43" s="9">
        <f t="shared" si="41"/>
        <v>-0.60454860871710359</v>
      </c>
      <c r="CS43" s="9">
        <f t="shared" si="41"/>
        <v>-0.61850870973944183</v>
      </c>
      <c r="CT43" s="9">
        <f t="shared" si="41"/>
        <v>-0.63123866546886276</v>
      </c>
      <c r="CU43" s="9">
        <f t="shared" si="41"/>
        <v>-0.64523658468990996</v>
      </c>
      <c r="CV43" s="9">
        <f t="shared" si="41"/>
        <v>-0.66002849630526839</v>
      </c>
      <c r="CW43" s="9">
        <f t="shared" si="41"/>
        <v>-0.67457137122576871</v>
      </c>
      <c r="CX43" s="9">
        <f t="shared" si="41"/>
        <v>-0.68776254548428395</v>
      </c>
      <c r="CY43" s="9">
        <f t="shared" si="41"/>
        <v>-0.702282967470091</v>
      </c>
      <c r="CZ43" s="9">
        <f t="shared" si="41"/>
        <v>-0.71532305690005749</v>
      </c>
      <c r="DA43" s="9">
        <f t="shared" si="41"/>
        <v>-0.72875876096005276</v>
      </c>
      <c r="DB43" s="9">
        <f t="shared" si="41"/>
        <v>-0.73978889550829063</v>
      </c>
      <c r="DC43" s="9">
        <f t="shared" si="41"/>
        <v>-0.75186347954588784</v>
      </c>
      <c r="DD43" s="9">
        <f t="shared" si="41"/>
        <v>-0.76400888269284806</v>
      </c>
      <c r="DE43" s="9">
        <f t="shared" si="41"/>
        <v>-0.77565468542156346</v>
      </c>
      <c r="DF43" s="9">
        <f t="shared" si="41"/>
        <v>-0.7866031434713473</v>
      </c>
      <c r="DG43" s="9">
        <f t="shared" si="41"/>
        <v>-0.79726277235236021</v>
      </c>
      <c r="DH43" s="9">
        <f t="shared" si="41"/>
        <v>-0.80765887964655159</v>
      </c>
      <c r="DI43" s="9">
        <f t="shared" si="41"/>
        <v>-0.81822726575352012</v>
      </c>
      <c r="DJ43" s="9">
        <f t="shared" si="41"/>
        <v>-0.82871912413753013</v>
      </c>
    </row>
    <row r="44" spans="1:114" x14ac:dyDescent="0.3">
      <c r="A44" t="s">
        <v>782</v>
      </c>
      <c r="B44" t="s">
        <v>686</v>
      </c>
      <c r="C44" t="s">
        <v>679</v>
      </c>
      <c r="D44">
        <v>0.17879536959494999</v>
      </c>
      <c r="E44">
        <v>0.18131853124531</v>
      </c>
      <c r="F44">
        <v>0.16757160330175599</v>
      </c>
      <c r="G44">
        <v>0.18181003617139099</v>
      </c>
      <c r="H44">
        <v>0.16612259691658801</v>
      </c>
      <c r="I44">
        <v>0.173122713116312</v>
      </c>
      <c r="J44">
        <v>0.17235543382712901</v>
      </c>
      <c r="K44">
        <v>0.17120757345944401</v>
      </c>
      <c r="L44">
        <v>0.16979913072611999</v>
      </c>
      <c r="M44">
        <v>0.16857380324193799</v>
      </c>
      <c r="N44">
        <v>0.16685540048723199</v>
      </c>
      <c r="O44">
        <v>0.165470524291988</v>
      </c>
      <c r="P44">
        <v>0.16460864541735501</v>
      </c>
      <c r="Q44">
        <v>0.164078089844655</v>
      </c>
      <c r="R44">
        <v>0.16405743704006601</v>
      </c>
      <c r="S44">
        <v>0.16391640114868899</v>
      </c>
      <c r="T44">
        <v>0.163743022828021</v>
      </c>
      <c r="U44">
        <v>0.163115173190614</v>
      </c>
      <c r="V44">
        <v>0.162906304461058</v>
      </c>
      <c r="W44">
        <v>0.16272073505488899</v>
      </c>
      <c r="X44">
        <v>0.16278166906187999</v>
      </c>
      <c r="Y44">
        <v>0.16290580951452799</v>
      </c>
      <c r="Z44">
        <v>0.16293084418249501</v>
      </c>
      <c r="AA44">
        <v>0.16306555552345101</v>
      </c>
      <c r="AB44">
        <v>0.163358162149112</v>
      </c>
      <c r="AC44">
        <v>0.16373591457269701</v>
      </c>
      <c r="AD44">
        <v>0.16402273504819201</v>
      </c>
      <c r="AE44">
        <v>0.16444695389045899</v>
      </c>
      <c r="AF44">
        <v>0.164921934167125</v>
      </c>
      <c r="AG44">
        <v>0.16542259864529499</v>
      </c>
      <c r="AH44">
        <v>0.16593883629853701</v>
      </c>
      <c r="AI44">
        <v>0.16657882206341301</v>
      </c>
      <c r="AJ44">
        <v>0.167286235826792</v>
      </c>
      <c r="AK44">
        <v>0.16791485530193101</v>
      </c>
      <c r="AL44">
        <v>0.16870878786594801</v>
      </c>
      <c r="AM44">
        <v>0.16962233137125801</v>
      </c>
      <c r="AO44" t="str">
        <f t="shared" si="31"/>
        <v>Baseline uncompeted_Commercial Fenestration, 90.1 c. 2016</v>
      </c>
      <c r="AP44" s="111"/>
      <c r="AQ44" s="111"/>
      <c r="AR44" s="111"/>
      <c r="AS44" s="111"/>
      <c r="AT44" s="111"/>
      <c r="AU44" s="209"/>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row>
    <row r="45" spans="1:114" x14ac:dyDescent="0.3">
      <c r="A45" t="s">
        <v>782</v>
      </c>
      <c r="B45" t="s">
        <v>685</v>
      </c>
      <c r="C45" t="s">
        <v>679</v>
      </c>
      <c r="D45">
        <v>0.17879536959494999</v>
      </c>
      <c r="E45">
        <v>0.18131853124531</v>
      </c>
      <c r="F45">
        <v>0.16757160330175599</v>
      </c>
      <c r="G45">
        <v>0.106924772675371</v>
      </c>
      <c r="H45">
        <v>9.1530608813975303E-2</v>
      </c>
      <c r="I45">
        <v>0.105573952991891</v>
      </c>
      <c r="J45">
        <v>0.106676975506714</v>
      </c>
      <c r="K45">
        <v>0.107782545631361</v>
      </c>
      <c r="L45">
        <v>0.108799453894332</v>
      </c>
      <c r="M45">
        <v>0.110252397579264</v>
      </c>
      <c r="N45">
        <v>0.111217081130983</v>
      </c>
      <c r="O45">
        <v>0.11245337029344001</v>
      </c>
      <c r="P45">
        <v>0.114138390875736</v>
      </c>
      <c r="Q45">
        <v>0.11616257026389901</v>
      </c>
      <c r="R45">
        <v>0.118762833295726</v>
      </c>
      <c r="S45">
        <v>0.12128500042296</v>
      </c>
      <c r="T45">
        <v>0.123781525315834</v>
      </c>
      <c r="U45">
        <v>0.12584655064318101</v>
      </c>
      <c r="V45">
        <v>0.128467020649705</v>
      </c>
      <c r="W45">
        <v>0.13107947489034399</v>
      </c>
      <c r="X45">
        <v>0.133996139250983</v>
      </c>
      <c r="Y45">
        <v>0.13700990071048</v>
      </c>
      <c r="Z45">
        <v>0.13992272561136501</v>
      </c>
      <c r="AA45">
        <v>0.142944910960384</v>
      </c>
      <c r="AB45">
        <v>0.14614053116207701</v>
      </c>
      <c r="AC45">
        <v>0.14944662751878601</v>
      </c>
      <c r="AD45">
        <v>0.152694677725801</v>
      </c>
      <c r="AE45">
        <v>0.15612237126940001</v>
      </c>
      <c r="AF45">
        <v>0.15959036393939599</v>
      </c>
      <c r="AG45">
        <v>0.16311701238218701</v>
      </c>
      <c r="AH45">
        <v>0.16666160481189601</v>
      </c>
      <c r="AI45">
        <v>0.17033812656215799</v>
      </c>
      <c r="AJ45">
        <v>0.17408694680087</v>
      </c>
      <c r="AK45">
        <v>0.17776799439801499</v>
      </c>
      <c r="AL45">
        <v>0.181658371997415</v>
      </c>
      <c r="AM45">
        <v>0.18569851646015201</v>
      </c>
      <c r="AO45" t="str">
        <f t="shared" si="31"/>
        <v>Efficient uncompeted_Commercial Fenestration, 90.1 c. 2016</v>
      </c>
      <c r="AP45" s="111">
        <f t="shared" ref="AP45:BY45" si="42">(D44-D45)*293071083333.33</f>
        <v>0</v>
      </c>
      <c r="AQ45" s="111">
        <f t="shared" si="42"/>
        <v>0</v>
      </c>
      <c r="AR45" s="111">
        <f t="shared" si="42"/>
        <v>0</v>
      </c>
      <c r="AS45" s="111">
        <f t="shared" si="42"/>
        <v>21946705298.480453</v>
      </c>
      <c r="AT45" s="111">
        <f t="shared" si="42"/>
        <v>21860754761.21957</v>
      </c>
      <c r="AU45" s="209">
        <f t="shared" si="42"/>
        <v>19796588307.487309</v>
      </c>
      <c r="AV45" s="111">
        <f t="shared" si="42"/>
        <v>19248456931.626987</v>
      </c>
      <c r="AW45" s="111">
        <f t="shared" si="42"/>
        <v>18588041616.022892</v>
      </c>
      <c r="AX45" s="111">
        <f t="shared" si="42"/>
        <v>17877241372.075138</v>
      </c>
      <c r="AY45" s="111">
        <f t="shared" si="42"/>
        <v>17092317539.082474</v>
      </c>
      <c r="AZ45" s="111">
        <f t="shared" si="42"/>
        <v>16305982528.581678</v>
      </c>
      <c r="BA45" s="111">
        <f t="shared" si="42"/>
        <v>15537794757.604448</v>
      </c>
      <c r="BB45" s="111">
        <f t="shared" si="42"/>
        <v>14791372174.621201</v>
      </c>
      <c r="BC45" s="111">
        <f t="shared" si="42"/>
        <v>14042653232.011545</v>
      </c>
      <c r="BD45" s="111">
        <f t="shared" si="42"/>
        <v>13274538588.507633</v>
      </c>
      <c r="BE45" s="111">
        <f t="shared" si="42"/>
        <v>12494030794.706707</v>
      </c>
      <c r="BF45" s="111">
        <f t="shared" si="42"/>
        <v>11711559367.518816</v>
      </c>
      <c r="BG45" s="111">
        <f t="shared" si="42"/>
        <v>10922355584.317156</v>
      </c>
      <c r="BH45" s="111">
        <f t="shared" si="42"/>
        <v>10093158215.817238</v>
      </c>
      <c r="BI45" s="111">
        <f t="shared" si="42"/>
        <v>9273138394.4549408</v>
      </c>
      <c r="BJ45" s="111">
        <f t="shared" si="42"/>
        <v>8436206406.0034475</v>
      </c>
      <c r="BK45" s="111">
        <f t="shared" si="42"/>
        <v>7589342047.1034632</v>
      </c>
      <c r="BL45" s="111">
        <f t="shared" si="42"/>
        <v>6743014235.1027775</v>
      </c>
      <c r="BM45" s="111">
        <f t="shared" si="42"/>
        <v>5896779099.462923</v>
      </c>
      <c r="BN45" s="111">
        <f t="shared" si="42"/>
        <v>5045989765.8038578</v>
      </c>
      <c r="BO45" s="111">
        <f t="shared" si="42"/>
        <v>4187776836.950624</v>
      </c>
      <c r="BP45" s="111">
        <f t="shared" si="42"/>
        <v>3319926031.5351934</v>
      </c>
      <c r="BQ45" s="111">
        <f t="shared" si="42"/>
        <v>2439694447.0515671</v>
      </c>
      <c r="BR45" s="111">
        <f t="shared" si="42"/>
        <v>1562529062.50827</v>
      </c>
      <c r="BS45" s="111">
        <f t="shared" si="42"/>
        <v>675700663.84749925</v>
      </c>
      <c r="BT45" s="111">
        <f t="shared" si="42"/>
        <v>-211822551.20934451</v>
      </c>
      <c r="BU45" s="111">
        <f t="shared" si="42"/>
        <v>-1101743442.0270526</v>
      </c>
      <c r="BV45" s="111">
        <f t="shared" si="42"/>
        <v>-1993091732.6099055</v>
      </c>
      <c r="BW45" s="111">
        <f t="shared" si="42"/>
        <v>-2887670149.1233215</v>
      </c>
      <c r="BX45" s="111">
        <f t="shared" si="42"/>
        <v>-3795148650.1251302</v>
      </c>
      <c r="BY45" s="111">
        <f t="shared" si="42"/>
        <v>-4711464979.8692894</v>
      </c>
      <c r="CA45" s="9">
        <f t="shared" ref="CA45:DJ45" si="43">(D44-D45)/D44</f>
        <v>0</v>
      </c>
      <c r="CB45" s="9">
        <f t="shared" si="43"/>
        <v>0</v>
      </c>
      <c r="CC45" s="9">
        <f t="shared" si="43"/>
        <v>0</v>
      </c>
      <c r="CD45" s="9">
        <f t="shared" si="43"/>
        <v>0.41188740221923836</v>
      </c>
      <c r="CE45" s="9">
        <f t="shared" si="43"/>
        <v>0.44901771033633775</v>
      </c>
      <c r="CF45" s="9">
        <f t="shared" si="43"/>
        <v>0.39017849771704166</v>
      </c>
      <c r="CG45" s="9">
        <f t="shared" si="43"/>
        <v>0.38106404226448659</v>
      </c>
      <c r="CH45" s="9">
        <f t="shared" si="43"/>
        <v>0.37045690530219016</v>
      </c>
      <c r="CI45" s="9">
        <f t="shared" si="43"/>
        <v>0.35924610786246203</v>
      </c>
      <c r="CJ45" s="9">
        <f t="shared" si="43"/>
        <v>0.34596956668866757</v>
      </c>
      <c r="CK45" s="9">
        <f t="shared" si="43"/>
        <v>0.33345231376257739</v>
      </c>
      <c r="CL45" s="9">
        <f t="shared" si="43"/>
        <v>0.32040240535525433</v>
      </c>
      <c r="CM45" s="9">
        <f t="shared" si="43"/>
        <v>0.3066075564479302</v>
      </c>
      <c r="CN45" s="9">
        <f t="shared" si="43"/>
        <v>0.29202875061576594</v>
      </c>
      <c r="CO45" s="9">
        <f t="shared" si="43"/>
        <v>0.27608991437113689</v>
      </c>
      <c r="CP45" s="9">
        <f t="shared" si="43"/>
        <v>0.26008014101687077</v>
      </c>
      <c r="CQ45" s="9">
        <f t="shared" si="43"/>
        <v>0.24405007811635729</v>
      </c>
      <c r="CR45" s="9">
        <f t="shared" si="43"/>
        <v>0.22848041551524714</v>
      </c>
      <c r="CS45" s="9">
        <f t="shared" si="43"/>
        <v>0.21140546969798552</v>
      </c>
      <c r="CT45" s="9">
        <f t="shared" si="43"/>
        <v>0.19445131042378686</v>
      </c>
      <c r="CU45" s="9">
        <f t="shared" si="43"/>
        <v>0.17683520495145208</v>
      </c>
      <c r="CV45" s="9">
        <f t="shared" si="43"/>
        <v>0.15896246353165561</v>
      </c>
      <c r="CW45" s="9">
        <f t="shared" si="43"/>
        <v>0.14121401436648265</v>
      </c>
      <c r="CX45" s="9">
        <f t="shared" si="43"/>
        <v>0.1233899121030093</v>
      </c>
      <c r="CY45" s="9">
        <f t="shared" si="43"/>
        <v>0.10539804537785434</v>
      </c>
      <c r="CZ45" s="9">
        <f t="shared" si="43"/>
        <v>8.7270328511627221E-2</v>
      </c>
      <c r="DA45" s="9">
        <f t="shared" si="43"/>
        <v>6.9063946038106699E-2</v>
      </c>
      <c r="DB45" s="9">
        <f t="shared" si="43"/>
        <v>5.0621689390513917E-2</v>
      </c>
      <c r="DC45" s="9">
        <f t="shared" si="43"/>
        <v>3.2327841985688936E-2</v>
      </c>
      <c r="DD45" s="9">
        <f t="shared" si="43"/>
        <v>1.3937553163771162E-2</v>
      </c>
      <c r="DE45" s="9">
        <f t="shared" si="43"/>
        <v>-4.355632047814831E-3</v>
      </c>
      <c r="DF45" s="9">
        <f t="shared" si="43"/>
        <v>-2.2567721707828465E-2</v>
      </c>
      <c r="DG45" s="9">
        <f t="shared" si="43"/>
        <v>-4.0653141248987452E-2</v>
      </c>
      <c r="DH45" s="9">
        <f t="shared" si="43"/>
        <v>-5.8679376987621858E-2</v>
      </c>
      <c r="DI45" s="9">
        <f t="shared" si="43"/>
        <v>-7.6757021938634415E-2</v>
      </c>
      <c r="DJ45" s="9">
        <f t="shared" si="43"/>
        <v>-9.477634789553456E-2</v>
      </c>
    </row>
    <row r="46" spans="1:114" x14ac:dyDescent="0.3">
      <c r="A46" t="s">
        <v>781</v>
      </c>
      <c r="B46" t="s">
        <v>686</v>
      </c>
      <c r="C46" t="s">
        <v>679</v>
      </c>
      <c r="D46">
        <v>3.8617343053600102E-3</v>
      </c>
      <c r="E46">
        <v>-9.9897052121999995E-4</v>
      </c>
      <c r="F46">
        <v>-1.24662361440657E-3</v>
      </c>
      <c r="G46">
        <v>7.3127196942963301E-3</v>
      </c>
      <c r="H46">
        <v>1.0116724001820799E-2</v>
      </c>
      <c r="I46">
        <v>5.90383897710039E-3</v>
      </c>
      <c r="J46">
        <v>5.8677723838080004E-3</v>
      </c>
      <c r="K46">
        <v>5.88436714376656E-3</v>
      </c>
      <c r="L46">
        <v>5.9478704990435097E-3</v>
      </c>
      <c r="M46">
        <v>5.8980962529127396E-3</v>
      </c>
      <c r="N46">
        <v>5.96929078858543E-3</v>
      </c>
      <c r="O46">
        <v>6.0369807943211999E-3</v>
      </c>
      <c r="P46">
        <v>6.1038232198325501E-3</v>
      </c>
      <c r="Q46">
        <v>6.1186058668820202E-3</v>
      </c>
      <c r="R46">
        <v>6.0517899419824496E-3</v>
      </c>
      <c r="S46">
        <v>6.0026836139184204E-3</v>
      </c>
      <c r="T46">
        <v>5.9781330250093098E-3</v>
      </c>
      <c r="U46">
        <v>6.0355378501073496E-3</v>
      </c>
      <c r="V46">
        <v>5.9662484253406103E-3</v>
      </c>
      <c r="W46">
        <v>5.9149084097953903E-3</v>
      </c>
      <c r="X46">
        <v>5.8268419088913599E-3</v>
      </c>
      <c r="Y46">
        <v>5.7181349650709101E-3</v>
      </c>
      <c r="Z46">
        <v>5.6436754889333304E-3</v>
      </c>
      <c r="AA46">
        <v>5.57328245020063E-3</v>
      </c>
      <c r="AB46">
        <v>5.48351570773839E-3</v>
      </c>
      <c r="AC46">
        <v>5.3590255593716704E-3</v>
      </c>
      <c r="AD46">
        <v>5.25914909269601E-3</v>
      </c>
      <c r="AE46">
        <v>5.1423376809179499E-3</v>
      </c>
      <c r="AF46">
        <v>5.0065103598945096E-3</v>
      </c>
      <c r="AG46">
        <v>4.8693691878660796E-3</v>
      </c>
      <c r="AH46">
        <v>4.7281661575800599E-3</v>
      </c>
      <c r="AI46">
        <v>4.5644618311271703E-3</v>
      </c>
      <c r="AJ46">
        <v>4.3820382484475199E-3</v>
      </c>
      <c r="AK46">
        <v>4.2258942570083903E-3</v>
      </c>
      <c r="AL46">
        <v>4.0170144845872698E-3</v>
      </c>
      <c r="AM46">
        <v>3.79524761900838E-3</v>
      </c>
      <c r="AO46" t="str">
        <f t="shared" si="31"/>
        <v>Baseline uncompeted_Commercial Floors, 90.1 c. 2016</v>
      </c>
      <c r="AP46" s="111"/>
      <c r="AQ46" s="111"/>
      <c r="AR46" s="111"/>
      <c r="AS46" s="111"/>
      <c r="AT46" s="111"/>
      <c r="AU46" s="209"/>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row>
    <row r="47" spans="1:114" x14ac:dyDescent="0.3">
      <c r="A47" t="s">
        <v>781</v>
      </c>
      <c r="B47" t="s">
        <v>685</v>
      </c>
      <c r="C47" t="s">
        <v>679</v>
      </c>
      <c r="D47">
        <v>3.8617343053600102E-3</v>
      </c>
      <c r="E47">
        <v>-9.9897052121999995E-4</v>
      </c>
      <c r="F47">
        <v>-1.24662361440657E-3</v>
      </c>
      <c r="G47">
        <v>7.3127196942963301E-3</v>
      </c>
      <c r="H47">
        <v>1.0116724001820799E-2</v>
      </c>
      <c r="I47">
        <v>5.90383897710039E-3</v>
      </c>
      <c r="J47">
        <v>5.8677723838080004E-3</v>
      </c>
      <c r="K47">
        <v>5.88436714376656E-3</v>
      </c>
      <c r="L47">
        <v>5.9478704990435097E-3</v>
      </c>
      <c r="M47">
        <v>5.8980962529127396E-3</v>
      </c>
      <c r="N47">
        <v>5.96929078858543E-3</v>
      </c>
      <c r="O47">
        <v>6.0369807943211999E-3</v>
      </c>
      <c r="P47">
        <v>6.1038232198325501E-3</v>
      </c>
      <c r="Q47">
        <v>6.1186058668820202E-3</v>
      </c>
      <c r="R47">
        <v>6.0517899419824496E-3</v>
      </c>
      <c r="S47">
        <v>6.0026836139184204E-3</v>
      </c>
      <c r="T47">
        <v>5.9781330250093098E-3</v>
      </c>
      <c r="U47">
        <v>6.0355378501073496E-3</v>
      </c>
      <c r="V47">
        <v>5.9662484253406103E-3</v>
      </c>
      <c r="W47">
        <v>5.9149084097953903E-3</v>
      </c>
      <c r="X47">
        <v>5.8268419088913599E-3</v>
      </c>
      <c r="Y47">
        <v>5.7181349650709101E-3</v>
      </c>
      <c r="Z47">
        <v>5.6436754889333304E-3</v>
      </c>
      <c r="AA47">
        <v>5.57328245020063E-3</v>
      </c>
      <c r="AB47">
        <v>5.48351570773839E-3</v>
      </c>
      <c r="AC47">
        <v>5.3590255593716704E-3</v>
      </c>
      <c r="AD47">
        <v>5.25914909269601E-3</v>
      </c>
      <c r="AE47">
        <v>5.1423376809179499E-3</v>
      </c>
      <c r="AF47">
        <v>5.0065103598945096E-3</v>
      </c>
      <c r="AG47">
        <v>4.8693691878660796E-3</v>
      </c>
      <c r="AH47">
        <v>4.7281661575800599E-3</v>
      </c>
      <c r="AI47">
        <v>4.5644618311271703E-3</v>
      </c>
      <c r="AJ47">
        <v>4.3820382484475199E-3</v>
      </c>
      <c r="AK47">
        <v>4.2258942570083903E-3</v>
      </c>
      <c r="AL47">
        <v>4.0170144845872698E-3</v>
      </c>
      <c r="AM47">
        <v>3.79524761900838E-3</v>
      </c>
      <c r="AO47" t="str">
        <f t="shared" si="31"/>
        <v>Efficient uncompeted_Commercial Floors, 90.1 c. 2016</v>
      </c>
      <c r="AP47" s="111">
        <f t="shared" ref="AP47:BY47" si="44">(D46-D47)*293071083333.33</f>
        <v>0</v>
      </c>
      <c r="AQ47" s="111">
        <f t="shared" si="44"/>
        <v>0</v>
      </c>
      <c r="AR47" s="111">
        <f t="shared" si="44"/>
        <v>0</v>
      </c>
      <c r="AS47" s="111">
        <f t="shared" si="44"/>
        <v>0</v>
      </c>
      <c r="AT47" s="111">
        <f t="shared" si="44"/>
        <v>0</v>
      </c>
      <c r="AU47" s="209">
        <f t="shared" si="44"/>
        <v>0</v>
      </c>
      <c r="AV47" s="111">
        <f t="shared" si="44"/>
        <v>0</v>
      </c>
      <c r="AW47" s="111">
        <f t="shared" si="44"/>
        <v>0</v>
      </c>
      <c r="AX47" s="111">
        <f t="shared" si="44"/>
        <v>0</v>
      </c>
      <c r="AY47" s="111">
        <f t="shared" si="44"/>
        <v>0</v>
      </c>
      <c r="AZ47" s="111">
        <f t="shared" si="44"/>
        <v>0</v>
      </c>
      <c r="BA47" s="111">
        <f t="shared" si="44"/>
        <v>0</v>
      </c>
      <c r="BB47" s="111">
        <f t="shared" si="44"/>
        <v>0</v>
      </c>
      <c r="BC47" s="111">
        <f t="shared" si="44"/>
        <v>0</v>
      </c>
      <c r="BD47" s="111">
        <f t="shared" si="44"/>
        <v>0</v>
      </c>
      <c r="BE47" s="111">
        <f t="shared" si="44"/>
        <v>0</v>
      </c>
      <c r="BF47" s="111">
        <f t="shared" si="44"/>
        <v>0</v>
      </c>
      <c r="BG47" s="111">
        <f t="shared" si="44"/>
        <v>0</v>
      </c>
      <c r="BH47" s="111">
        <f t="shared" si="44"/>
        <v>0</v>
      </c>
      <c r="BI47" s="111">
        <f t="shared" si="44"/>
        <v>0</v>
      </c>
      <c r="BJ47" s="111">
        <f t="shared" si="44"/>
        <v>0</v>
      </c>
      <c r="BK47" s="111">
        <f t="shared" si="44"/>
        <v>0</v>
      </c>
      <c r="BL47" s="111">
        <f t="shared" si="44"/>
        <v>0</v>
      </c>
      <c r="BM47" s="111">
        <f t="shared" si="44"/>
        <v>0</v>
      </c>
      <c r="BN47" s="111">
        <f t="shared" si="44"/>
        <v>0</v>
      </c>
      <c r="BO47" s="111">
        <f t="shared" si="44"/>
        <v>0</v>
      </c>
      <c r="BP47" s="111">
        <f t="shared" si="44"/>
        <v>0</v>
      </c>
      <c r="BQ47" s="111">
        <f t="shared" si="44"/>
        <v>0</v>
      </c>
      <c r="BR47" s="111">
        <f t="shared" si="44"/>
        <v>0</v>
      </c>
      <c r="BS47" s="111">
        <f t="shared" si="44"/>
        <v>0</v>
      </c>
      <c r="BT47" s="111">
        <f t="shared" si="44"/>
        <v>0</v>
      </c>
      <c r="BU47" s="111">
        <f t="shared" si="44"/>
        <v>0</v>
      </c>
      <c r="BV47" s="111">
        <f t="shared" si="44"/>
        <v>0</v>
      </c>
      <c r="BW47" s="111">
        <f t="shared" si="44"/>
        <v>0</v>
      </c>
      <c r="BX47" s="111">
        <f t="shared" si="44"/>
        <v>0</v>
      </c>
      <c r="BY47" s="111">
        <f t="shared" si="44"/>
        <v>0</v>
      </c>
      <c r="CA47" s="9">
        <f t="shared" ref="CA47:DJ47" si="45">(D46-D47)/D46</f>
        <v>0</v>
      </c>
      <c r="CB47" s="9">
        <f t="shared" si="45"/>
        <v>0</v>
      </c>
      <c r="CC47" s="9">
        <f t="shared" si="45"/>
        <v>0</v>
      </c>
      <c r="CD47" s="9">
        <f t="shared" si="45"/>
        <v>0</v>
      </c>
      <c r="CE47" s="9">
        <f t="shared" si="45"/>
        <v>0</v>
      </c>
      <c r="CF47" s="9">
        <f t="shared" si="45"/>
        <v>0</v>
      </c>
      <c r="CG47" s="9">
        <f t="shared" si="45"/>
        <v>0</v>
      </c>
      <c r="CH47" s="9">
        <f t="shared" si="45"/>
        <v>0</v>
      </c>
      <c r="CI47" s="9">
        <f t="shared" si="45"/>
        <v>0</v>
      </c>
      <c r="CJ47" s="9">
        <f t="shared" si="45"/>
        <v>0</v>
      </c>
      <c r="CK47" s="9">
        <f t="shared" si="45"/>
        <v>0</v>
      </c>
      <c r="CL47" s="9">
        <f t="shared" si="45"/>
        <v>0</v>
      </c>
      <c r="CM47" s="9">
        <f t="shared" si="45"/>
        <v>0</v>
      </c>
      <c r="CN47" s="9">
        <f t="shared" si="45"/>
        <v>0</v>
      </c>
      <c r="CO47" s="9">
        <f t="shared" si="45"/>
        <v>0</v>
      </c>
      <c r="CP47" s="9">
        <f t="shared" si="45"/>
        <v>0</v>
      </c>
      <c r="CQ47" s="9">
        <f t="shared" si="45"/>
        <v>0</v>
      </c>
      <c r="CR47" s="9">
        <f t="shared" si="45"/>
        <v>0</v>
      </c>
      <c r="CS47" s="9">
        <f t="shared" si="45"/>
        <v>0</v>
      </c>
      <c r="CT47" s="9">
        <f t="shared" si="45"/>
        <v>0</v>
      </c>
      <c r="CU47" s="9">
        <f t="shared" si="45"/>
        <v>0</v>
      </c>
      <c r="CV47" s="9">
        <f t="shared" si="45"/>
        <v>0</v>
      </c>
      <c r="CW47" s="9">
        <f t="shared" si="45"/>
        <v>0</v>
      </c>
      <c r="CX47" s="9">
        <f t="shared" si="45"/>
        <v>0</v>
      </c>
      <c r="CY47" s="9">
        <f t="shared" si="45"/>
        <v>0</v>
      </c>
      <c r="CZ47" s="9">
        <f t="shared" si="45"/>
        <v>0</v>
      </c>
      <c r="DA47" s="9">
        <f t="shared" si="45"/>
        <v>0</v>
      </c>
      <c r="DB47" s="9">
        <f t="shared" si="45"/>
        <v>0</v>
      </c>
      <c r="DC47" s="9">
        <f t="shared" si="45"/>
        <v>0</v>
      </c>
      <c r="DD47" s="9">
        <f t="shared" si="45"/>
        <v>0</v>
      </c>
      <c r="DE47" s="9">
        <f t="shared" si="45"/>
        <v>0</v>
      </c>
      <c r="DF47" s="9">
        <f t="shared" si="45"/>
        <v>0</v>
      </c>
      <c r="DG47" s="9">
        <f t="shared" si="45"/>
        <v>0</v>
      </c>
      <c r="DH47" s="9">
        <f t="shared" si="45"/>
        <v>0</v>
      </c>
      <c r="DI47" s="9">
        <f t="shared" si="45"/>
        <v>0</v>
      </c>
      <c r="DJ47" s="9">
        <f t="shared" si="45"/>
        <v>0</v>
      </c>
    </row>
    <row r="48" spans="1:114" x14ac:dyDescent="0.3">
      <c r="A48" t="s">
        <v>776</v>
      </c>
      <c r="B48" t="s">
        <v>686</v>
      </c>
      <c r="C48" t="s">
        <v>22</v>
      </c>
      <c r="D48">
        <v>7.7502080000000002E-4</v>
      </c>
      <c r="E48">
        <v>8.3318610000000001E-4</v>
      </c>
      <c r="F48">
        <v>8.342833E-4</v>
      </c>
      <c r="G48">
        <v>7.9998210000000001E-4</v>
      </c>
      <c r="H48">
        <v>7.6459740000000003E-4</v>
      </c>
      <c r="I48">
        <v>7.5499689999999995E-4</v>
      </c>
      <c r="J48">
        <v>7.5417400000000003E-4</v>
      </c>
      <c r="K48">
        <v>7.5389969999999995E-4</v>
      </c>
      <c r="L48">
        <v>7.5225390000000002E-4</v>
      </c>
      <c r="M48">
        <v>7.4759079999999996E-4</v>
      </c>
      <c r="N48">
        <v>7.3991040000000001E-4</v>
      </c>
      <c r="O48">
        <v>7.3195569999999998E-4</v>
      </c>
      <c r="P48">
        <v>7.2180659999999995E-4</v>
      </c>
      <c r="Q48">
        <v>7.1467480000000005E-4</v>
      </c>
      <c r="R48">
        <v>7.0752930000000003E-4</v>
      </c>
      <c r="S48">
        <v>7.0122040000000004E-4</v>
      </c>
      <c r="T48">
        <v>6.9546009999999999E-4</v>
      </c>
      <c r="U48">
        <v>6.891512E-4</v>
      </c>
      <c r="V48">
        <v>6.8229369999999996E-4</v>
      </c>
      <c r="W48">
        <v>6.7598479999999997E-4</v>
      </c>
      <c r="X48">
        <v>6.6940160000000001E-4</v>
      </c>
      <c r="Y48">
        <v>6.6199550000000003E-4</v>
      </c>
      <c r="Z48">
        <v>6.5596090000000001E-4</v>
      </c>
      <c r="AA48">
        <v>6.4965200000000002E-4</v>
      </c>
      <c r="AB48">
        <v>6.4389169999999997E-4</v>
      </c>
      <c r="AC48">
        <v>6.3785709999999995E-4</v>
      </c>
      <c r="AD48">
        <v>6.3290600000000003E-4</v>
      </c>
      <c r="AE48">
        <v>6.2741999999999995E-4</v>
      </c>
      <c r="AF48">
        <v>6.2220829999999996E-4</v>
      </c>
      <c r="AG48">
        <v>6.1754520000000001E-4</v>
      </c>
      <c r="AH48">
        <v>6.1288209999999996E-4</v>
      </c>
      <c r="AI48">
        <v>6.0876759999999995E-4</v>
      </c>
      <c r="AJ48">
        <v>6.0492740000000003E-4</v>
      </c>
      <c r="AK48">
        <v>6.0079920000000002E-4</v>
      </c>
      <c r="AL48">
        <v>5.9641040000000005E-4</v>
      </c>
      <c r="AM48">
        <v>5.9202159999999996E-4</v>
      </c>
      <c r="AO48" t="str">
        <f t="shared" si="31"/>
        <v>Baseline uncompeted_Commercial Oil WH, 90.1 c. 2016</v>
      </c>
      <c r="AP48" s="111"/>
      <c r="AQ48" s="111"/>
      <c r="AR48" s="111"/>
      <c r="AS48" s="111"/>
      <c r="AT48" s="111"/>
      <c r="AU48" s="209"/>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row>
    <row r="49" spans="1:114" x14ac:dyDescent="0.3">
      <c r="A49" t="s">
        <v>776</v>
      </c>
      <c r="B49" t="s">
        <v>685</v>
      </c>
      <c r="C49" t="s">
        <v>22</v>
      </c>
      <c r="D49">
        <v>7.7502080000000002E-4</v>
      </c>
      <c r="E49">
        <v>2.9432989452301699E-4</v>
      </c>
      <c r="F49">
        <v>2.9478015195283797E-4</v>
      </c>
      <c r="G49">
        <v>2.8276602967892598E-4</v>
      </c>
      <c r="H49">
        <v>2.7040035013337798E-4</v>
      </c>
      <c r="I49">
        <v>2.6717133581381601E-4</v>
      </c>
      <c r="J49">
        <v>2.6706770463511697E-4</v>
      </c>
      <c r="K49">
        <v>2.6717325891100098E-4</v>
      </c>
      <c r="L49">
        <v>2.6680414393310902E-4</v>
      </c>
      <c r="M49">
        <v>2.6537184302775598E-4</v>
      </c>
      <c r="N49">
        <v>2.6287245250801401E-4</v>
      </c>
      <c r="O49">
        <v>2.6027079743791101E-4</v>
      </c>
      <c r="P49">
        <v>2.5688102434591101E-4</v>
      </c>
      <c r="Q49">
        <v>2.54564299719646E-4</v>
      </c>
      <c r="R49">
        <v>2.5223337266982001E-4</v>
      </c>
      <c r="S49">
        <v>2.50192769859282E-4</v>
      </c>
      <c r="T49">
        <v>2.48339195107946E-4</v>
      </c>
      <c r="U49">
        <v>2.4628207873110899E-4</v>
      </c>
      <c r="V49">
        <v>2.4401882205794001E-4</v>
      </c>
      <c r="W49">
        <v>2.4194136701021399E-4</v>
      </c>
      <c r="X49">
        <v>2.39755483846182E-4</v>
      </c>
      <c r="Y49">
        <v>2.3726452658874499E-4</v>
      </c>
      <c r="Z49">
        <v>2.35254803895198E-4</v>
      </c>
      <c r="AA49">
        <v>2.3313692797713399E-4</v>
      </c>
      <c r="AB49">
        <v>2.3120624352400299E-4</v>
      </c>
      <c r="AC49">
        <v>2.2916929031640301E-4</v>
      </c>
      <c r="AD49">
        <v>2.27515735910598E-4</v>
      </c>
      <c r="AE49">
        <v>2.2565866155877001E-4</v>
      </c>
      <c r="AF49">
        <v>2.2389395089833299E-4</v>
      </c>
      <c r="AG49">
        <v>2.22318711933604E-4</v>
      </c>
      <c r="AH49">
        <v>2.2073643527221399E-4</v>
      </c>
      <c r="AI49">
        <v>2.19344913248042E-4</v>
      </c>
      <c r="AJ49">
        <v>2.18045889594153E-4</v>
      </c>
      <c r="AK49">
        <v>2.16639865570282E-4</v>
      </c>
      <c r="AL49">
        <v>2.15131278027068E-4</v>
      </c>
      <c r="AM49">
        <v>2.13617092460927E-4</v>
      </c>
      <c r="AO49" t="str">
        <f t="shared" si="31"/>
        <v>Efficient uncompeted_Commercial Oil WH, 90.1 c. 2016</v>
      </c>
      <c r="AP49" s="111">
        <f t="shared" ref="AP49:BY49" si="46">(D48-D49)*293071083333.33</f>
        <v>0</v>
      </c>
      <c r="AQ49" s="111">
        <f t="shared" si="46"/>
        <v>157923171.90002689</v>
      </c>
      <c r="AR49" s="111">
        <f t="shared" si="46"/>
        <v>158112772.05992368</v>
      </c>
      <c r="AS49" s="111">
        <f t="shared" si="46"/>
        <v>151581074.04640499</v>
      </c>
      <c r="AT49" s="111">
        <f t="shared" si="46"/>
        <v>144834864.78454664</v>
      </c>
      <c r="AU49" s="209">
        <f t="shared" si="46"/>
        <v>142967566.57373783</v>
      </c>
      <c r="AV49" s="111">
        <f t="shared" si="46"/>
        <v>142756769.68107131</v>
      </c>
      <c r="AW49" s="111">
        <f t="shared" si="46"/>
        <v>142645445.37692916</v>
      </c>
      <c r="AX49" s="111">
        <f t="shared" si="46"/>
        <v>142271285.91442454</v>
      </c>
      <c r="AY49" s="111">
        <f t="shared" si="46"/>
        <v>141324432.12372401</v>
      </c>
      <c r="AZ49" s="111">
        <f t="shared" si="46"/>
        <v>139806028.06258455</v>
      </c>
      <c r="BA49" s="111">
        <f t="shared" si="46"/>
        <v>138237205.38584763</v>
      </c>
      <c r="BB49" s="111">
        <f t="shared" si="46"/>
        <v>136256242.12631592</v>
      </c>
      <c r="BC49" s="111">
        <f t="shared" si="46"/>
        <v>134845082.7702038</v>
      </c>
      <c r="BD49" s="111">
        <f t="shared" si="46"/>
        <v>133434070.65990895</v>
      </c>
      <c r="BE49" s="111">
        <f t="shared" si="46"/>
        <v>132183156.17860472</v>
      </c>
      <c r="BF49" s="111">
        <f t="shared" si="46"/>
        <v>131038207.97769308</v>
      </c>
      <c r="BG49" s="111">
        <f t="shared" si="46"/>
        <v>129792133.14515379</v>
      </c>
      <c r="BH49" s="111">
        <f t="shared" si="46"/>
        <v>128445693.27626251</v>
      </c>
      <c r="BI49" s="111">
        <f t="shared" si="46"/>
        <v>127205579.12003422</v>
      </c>
      <c r="BJ49" s="111">
        <f t="shared" si="46"/>
        <v>125916852.71115719</v>
      </c>
      <c r="BK49" s="111">
        <f t="shared" si="46"/>
        <v>124476366.5028563</v>
      </c>
      <c r="BL49" s="111">
        <f t="shared" si="46"/>
        <v>123296791.35037038</v>
      </c>
      <c r="BM49" s="111">
        <f t="shared" si="46"/>
        <v>122068523.38240132</v>
      </c>
      <c r="BN49" s="111">
        <f t="shared" si="46"/>
        <v>120946173.80533025</v>
      </c>
      <c r="BO49" s="111">
        <f t="shared" si="46"/>
        <v>119774579.12909755</v>
      </c>
      <c r="BP49" s="111">
        <f t="shared" si="46"/>
        <v>118808163.86946581</v>
      </c>
      <c r="BQ49" s="111">
        <f t="shared" si="46"/>
        <v>117744630.69841991</v>
      </c>
      <c r="BR49" s="111">
        <f t="shared" si="46"/>
        <v>116734417.79843573</v>
      </c>
      <c r="BS49" s="111">
        <f t="shared" si="46"/>
        <v>115829455.01964612</v>
      </c>
      <c r="BT49" s="111">
        <f t="shared" si="46"/>
        <v>114926554.78624104</v>
      </c>
      <c r="BU49" s="111">
        <f t="shared" si="46"/>
        <v>114128528.68097235</v>
      </c>
      <c r="BV49" s="111">
        <f t="shared" si="46"/>
        <v>113383783.37627658</v>
      </c>
      <c r="BW49" s="111">
        <f t="shared" si="46"/>
        <v>112585992.31392847</v>
      </c>
      <c r="BX49" s="111">
        <f t="shared" si="46"/>
        <v>111741885.32898808</v>
      </c>
      <c r="BY49" s="111">
        <f t="shared" si="46"/>
        <v>110899418.96269137</v>
      </c>
      <c r="CA49" s="9">
        <f t="shared" ref="CA49:DJ49" si="47">(D48-D49)/D48</f>
        <v>0</v>
      </c>
      <c r="CB49" s="9">
        <f t="shared" si="47"/>
        <v>0.64674171289821436</v>
      </c>
      <c r="CC49" s="9">
        <f t="shared" si="47"/>
        <v>0.64666660359516004</v>
      </c>
      <c r="CD49" s="9">
        <f t="shared" si="47"/>
        <v>0.6465345541119909</v>
      </c>
      <c r="CE49" s="9">
        <f t="shared" si="47"/>
        <v>0.64634937271120985</v>
      </c>
      <c r="CF49" s="9">
        <f t="shared" si="47"/>
        <v>0.64612922806197481</v>
      </c>
      <c r="CG49" s="9">
        <f t="shared" si="47"/>
        <v>0.64588052009865504</v>
      </c>
      <c r="CH49" s="9">
        <f t="shared" si="47"/>
        <v>0.64561166570168282</v>
      </c>
      <c r="CI49" s="9">
        <f t="shared" si="47"/>
        <v>0.64532700470797288</v>
      </c>
      <c r="CJ49" s="9">
        <f t="shared" si="47"/>
        <v>0.64503061965482189</v>
      </c>
      <c r="CK49" s="9">
        <f t="shared" si="47"/>
        <v>0.64472393886068635</v>
      </c>
      <c r="CL49" s="9">
        <f t="shared" si="47"/>
        <v>0.64441728175911328</v>
      </c>
      <c r="CM49" s="9">
        <f t="shared" si="47"/>
        <v>0.64411377736652586</v>
      </c>
      <c r="CN49" s="9">
        <f t="shared" si="47"/>
        <v>0.6438040074735446</v>
      </c>
      <c r="CO49" s="9">
        <f t="shared" si="47"/>
        <v>0.64350116289202441</v>
      </c>
      <c r="CP49" s="9">
        <f t="shared" si="47"/>
        <v>0.64320380602263993</v>
      </c>
      <c r="CQ49" s="9">
        <f t="shared" si="47"/>
        <v>0.64291381330439235</v>
      </c>
      <c r="CR49" s="9">
        <f t="shared" si="47"/>
        <v>0.64262983401739848</v>
      </c>
      <c r="CS49" s="9">
        <f t="shared" si="47"/>
        <v>0.64235515869787452</v>
      </c>
      <c r="CT49" s="9">
        <f t="shared" si="47"/>
        <v>0.64209052184277815</v>
      </c>
      <c r="CU49" s="9">
        <f t="shared" si="47"/>
        <v>0.64183610579033279</v>
      </c>
      <c r="CV49" s="9">
        <f t="shared" si="47"/>
        <v>0.64159193440326256</v>
      </c>
      <c r="CW49" s="9">
        <f t="shared" si="47"/>
        <v>0.64135849576522319</v>
      </c>
      <c r="CX49" s="9">
        <f t="shared" si="47"/>
        <v>0.64113567267223992</v>
      </c>
      <c r="CY49" s="9">
        <f t="shared" si="47"/>
        <v>0.640923708872155</v>
      </c>
      <c r="CZ49" s="9">
        <f t="shared" si="47"/>
        <v>0.64072001343811491</v>
      </c>
      <c r="DA49" s="9">
        <f t="shared" si="47"/>
        <v>0.64052207450932996</v>
      </c>
      <c r="DB49" s="9">
        <f t="shared" si="47"/>
        <v>0.64033874986648498</v>
      </c>
      <c r="DC49" s="9">
        <f t="shared" si="47"/>
        <v>0.64016238468960796</v>
      </c>
      <c r="DD49" s="9">
        <f t="shared" si="47"/>
        <v>0.63999604897972817</v>
      </c>
      <c r="DE49" s="9">
        <f t="shared" si="47"/>
        <v>0.63983866510016518</v>
      </c>
      <c r="DF49" s="9">
        <f t="shared" si="47"/>
        <v>0.63969023113575363</v>
      </c>
      <c r="DG49" s="9">
        <f t="shared" si="47"/>
        <v>0.63955031695679021</v>
      </c>
      <c r="DH49" s="9">
        <f t="shared" si="47"/>
        <v>0.63941385812384233</v>
      </c>
      <c r="DI49" s="9">
        <f t="shared" si="47"/>
        <v>0.63928986143255051</v>
      </c>
      <c r="DJ49" s="9">
        <f t="shared" si="47"/>
        <v>0.63917348208084468</v>
      </c>
    </row>
    <row r="50" spans="1:114" x14ac:dyDescent="0.3">
      <c r="A50" t="s">
        <v>775</v>
      </c>
      <c r="B50" t="s">
        <v>686</v>
      </c>
      <c r="C50" t="s">
        <v>679</v>
      </c>
      <c r="D50">
        <v>0.10322832182878</v>
      </c>
      <c r="E50">
        <v>9.7129716459860002E-2</v>
      </c>
      <c r="F50">
        <v>8.9016034299158095E-2</v>
      </c>
      <c r="G50">
        <v>0.110047575093845</v>
      </c>
      <c r="H50">
        <v>0.105721746320247</v>
      </c>
      <c r="I50">
        <v>0.102939580523497</v>
      </c>
      <c r="J50">
        <v>0.102423262692664</v>
      </c>
      <c r="K50">
        <v>0.101755120454092</v>
      </c>
      <c r="L50">
        <v>0.10097346981477</v>
      </c>
      <c r="M50">
        <v>0.100115760820962</v>
      </c>
      <c r="N50">
        <v>9.9163341599072294E-2</v>
      </c>
      <c r="O50">
        <v>9.8395446626769204E-2</v>
      </c>
      <c r="P50">
        <v>9.7914095692375094E-2</v>
      </c>
      <c r="Q50">
        <v>9.75341317710713E-2</v>
      </c>
      <c r="R50">
        <v>9.7309444924253405E-2</v>
      </c>
      <c r="S50">
        <v>9.7032775583269101E-2</v>
      </c>
      <c r="T50">
        <v>9.6774903934834094E-2</v>
      </c>
      <c r="U50">
        <v>9.6390533785214005E-2</v>
      </c>
      <c r="V50">
        <v>9.6043354920814006E-2</v>
      </c>
      <c r="W50">
        <v>9.5729934244832199E-2</v>
      </c>
      <c r="X50">
        <v>9.5475089724297593E-2</v>
      </c>
      <c r="Y50">
        <v>9.5210815375778704E-2</v>
      </c>
      <c r="Z50">
        <v>9.4934150764575703E-2</v>
      </c>
      <c r="AA50">
        <v>9.4714177916070397E-2</v>
      </c>
      <c r="AB50">
        <v>9.4543617911333006E-2</v>
      </c>
      <c r="AC50">
        <v>9.4373875910160804E-2</v>
      </c>
      <c r="AD50">
        <v>9.41825411355003E-2</v>
      </c>
      <c r="AE50">
        <v>9.4026752146292303E-2</v>
      </c>
      <c r="AF50">
        <v>9.3856490437855905E-2</v>
      </c>
      <c r="AG50">
        <v>9.3686994865252199E-2</v>
      </c>
      <c r="AH50">
        <v>9.3515184897292103E-2</v>
      </c>
      <c r="AI50">
        <v>9.3368603632506195E-2</v>
      </c>
      <c r="AJ50">
        <v>9.3213089847514696E-2</v>
      </c>
      <c r="AK50">
        <v>9.3046237880935703E-2</v>
      </c>
      <c r="AL50">
        <v>9.2865634996356194E-2</v>
      </c>
      <c r="AM50">
        <v>9.2717544791745599E-2</v>
      </c>
      <c r="AO50" t="str">
        <f t="shared" si="31"/>
        <v>Baseline uncompeted_Commercial Roofs, 90.1 c. 2016</v>
      </c>
      <c r="AP50" s="111"/>
      <c r="AQ50" s="111"/>
      <c r="AR50" s="111"/>
      <c r="AS50" s="111"/>
      <c r="AT50" s="111"/>
      <c r="AU50" s="209"/>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row>
    <row r="51" spans="1:114" x14ac:dyDescent="0.3">
      <c r="A51" t="s">
        <v>775</v>
      </c>
      <c r="B51" t="s">
        <v>685</v>
      </c>
      <c r="C51" t="s">
        <v>679</v>
      </c>
      <c r="D51">
        <v>0.10322832182878</v>
      </c>
      <c r="E51">
        <v>9.7129716459860002E-2</v>
      </c>
      <c r="F51">
        <v>8.9016034299158095E-2</v>
      </c>
      <c r="G51">
        <v>0.103777057994481</v>
      </c>
      <c r="H51">
        <v>9.9802131730463706E-2</v>
      </c>
      <c r="I51">
        <v>9.7447298395040793E-2</v>
      </c>
      <c r="J51">
        <v>9.7390425486584206E-2</v>
      </c>
      <c r="K51">
        <v>9.7300197115271006E-2</v>
      </c>
      <c r="L51">
        <v>9.7212691728251893E-2</v>
      </c>
      <c r="M51">
        <v>9.7154149582322796E-2</v>
      </c>
      <c r="N51">
        <v>9.7095061395451598E-2</v>
      </c>
      <c r="O51">
        <v>9.7372684313700997E-2</v>
      </c>
      <c r="P51">
        <v>9.80836341812822E-2</v>
      </c>
      <c r="Q51">
        <v>9.9015071248940503E-2</v>
      </c>
      <c r="R51">
        <v>0.100243513932778</v>
      </c>
      <c r="S51">
        <v>0.101553325423167</v>
      </c>
      <c r="T51">
        <v>0.10298431213018799</v>
      </c>
      <c r="U51">
        <v>0.10439998542177301</v>
      </c>
      <c r="V51">
        <v>0.105964878566342</v>
      </c>
      <c r="W51">
        <v>0.107648801216843</v>
      </c>
      <c r="X51">
        <v>0.109499203781594</v>
      </c>
      <c r="Y51">
        <v>0.111436330563007</v>
      </c>
      <c r="Z51">
        <v>0.11342523767311</v>
      </c>
      <c r="AA51">
        <v>0.115570247753956</v>
      </c>
      <c r="AB51">
        <v>0.117859896765626</v>
      </c>
      <c r="AC51">
        <v>0.120208299232377</v>
      </c>
      <c r="AD51">
        <v>0.122608022793778</v>
      </c>
      <c r="AE51">
        <v>0.12512891656240799</v>
      </c>
      <c r="AF51">
        <v>0.12767710047234401</v>
      </c>
      <c r="AG51">
        <v>0.13029288639745101</v>
      </c>
      <c r="AH51">
        <v>0.13296988397614601</v>
      </c>
      <c r="AI51">
        <v>0.135719572089435</v>
      </c>
      <c r="AJ51">
        <v>0.138516009972181</v>
      </c>
      <c r="AK51">
        <v>0.141349688309474</v>
      </c>
      <c r="AL51">
        <v>0.14419130316137199</v>
      </c>
      <c r="AM51">
        <v>0.14713215333608701</v>
      </c>
      <c r="AO51" t="str">
        <f t="shared" si="31"/>
        <v>Efficient uncompeted_Commercial Roofs, 90.1 c. 2016</v>
      </c>
      <c r="AP51" s="111">
        <f t="shared" ref="AP51:BY51" si="48">(D50-D51)*293071083333.33</f>
        <v>0</v>
      </c>
      <c r="AQ51" s="111">
        <f t="shared" si="48"/>
        <v>0</v>
      </c>
      <c r="AR51" s="111">
        <f t="shared" si="48"/>
        <v>0</v>
      </c>
      <c r="AS51" s="111">
        <f t="shared" si="48"/>
        <v>1837707239.3707755</v>
      </c>
      <c r="AT51" s="111">
        <f t="shared" si="48"/>
        <v>1734867860.7435763</v>
      </c>
      <c r="AU51" s="209">
        <f t="shared" si="48"/>
        <v>1609629073.3589478</v>
      </c>
      <c r="AV51" s="111">
        <f t="shared" si="48"/>
        <v>1474979052.226094</v>
      </c>
      <c r="AW51" s="111">
        <f t="shared" si="48"/>
        <v>1305609209.0752056</v>
      </c>
      <c r="AX51" s="111">
        <f t="shared" si="48"/>
        <v>1102175307.9921088</v>
      </c>
      <c r="AY51" s="111">
        <f t="shared" si="48"/>
        <v>867962614.1201582</v>
      </c>
      <c r="AZ51" s="111">
        <f t="shared" si="48"/>
        <v>606153119.91199756</v>
      </c>
      <c r="BA51" s="111">
        <f t="shared" si="48"/>
        <v>299742059.0834018</v>
      </c>
      <c r="BB51" s="111">
        <f t="shared" si="48"/>
        <v>-49686828.610701337</v>
      </c>
      <c r="BC51" s="111">
        <f t="shared" si="48"/>
        <v>-434020537.13022345</v>
      </c>
      <c r="BD51" s="111">
        <f t="shared" si="48"/>
        <v>-859890782.90305257</v>
      </c>
      <c r="BE51" s="111">
        <f t="shared" si="48"/>
        <v>-1324842438.8411891</v>
      </c>
      <c r="BF51" s="111">
        <f t="shared" si="48"/>
        <v>-1819797986.6712251</v>
      </c>
      <c r="BG51" s="111">
        <f t="shared" si="48"/>
        <v>-2347338668.0322595</v>
      </c>
      <c r="BH51" s="111">
        <f t="shared" si="48"/>
        <v>-2907711683.1121387</v>
      </c>
      <c r="BI51" s="111">
        <f t="shared" si="48"/>
        <v>-3493075255.5930533</v>
      </c>
      <c r="BJ51" s="111">
        <f t="shared" si="48"/>
        <v>-4110062299.5620403</v>
      </c>
      <c r="BK51" s="111">
        <f t="shared" si="48"/>
        <v>-4755229313.562396</v>
      </c>
      <c r="BL51" s="111">
        <f t="shared" si="48"/>
        <v>-5419202872.2949018</v>
      </c>
      <c r="BM51" s="111">
        <f t="shared" si="48"/>
        <v>-6112310981.4647207</v>
      </c>
      <c r="BN51" s="111">
        <f t="shared" si="48"/>
        <v>-6833327103.1296625</v>
      </c>
      <c r="BO51" s="111">
        <f t="shared" si="48"/>
        <v>-7571322430.3337469</v>
      </c>
      <c r="BP51" s="111">
        <f t="shared" si="48"/>
        <v>-8330686703.8631477</v>
      </c>
      <c r="BQ51" s="111">
        <f t="shared" si="48"/>
        <v>-9115145019.4423714</v>
      </c>
      <c r="BR51" s="111">
        <f t="shared" si="48"/>
        <v>-9911842821.8015213</v>
      </c>
      <c r="BS51" s="111">
        <f t="shared" si="48"/>
        <v>-10728128287.723879</v>
      </c>
      <c r="BT51" s="111">
        <f t="shared" si="48"/>
        <v>-11563031401.630253</v>
      </c>
      <c r="BU51" s="111">
        <f t="shared" si="48"/>
        <v>-12411844205.887812</v>
      </c>
      <c r="BV51" s="111">
        <f t="shared" si="48"/>
        <v>-13276975879.099272</v>
      </c>
      <c r="BW51" s="111">
        <f t="shared" si="48"/>
        <v>-14156344545.829523</v>
      </c>
      <c r="BX51" s="111">
        <f t="shared" si="48"/>
        <v>-15042069171.928188</v>
      </c>
      <c r="BY51" s="111">
        <f t="shared" si="48"/>
        <v>-15947348275.249212</v>
      </c>
      <c r="CA51" s="9">
        <f t="shared" ref="CA51:DJ51" si="49">(D50-D51)/D50</f>
        <v>0</v>
      </c>
      <c r="CB51" s="9">
        <f t="shared" si="49"/>
        <v>0</v>
      </c>
      <c r="CC51" s="9">
        <f t="shared" si="49"/>
        <v>0</v>
      </c>
      <c r="CD51" s="9">
        <f t="shared" si="49"/>
        <v>5.6980056980053394E-2</v>
      </c>
      <c r="CE51" s="9">
        <f t="shared" si="49"/>
        <v>5.5992402659069747E-2</v>
      </c>
      <c r="CF51" s="9">
        <f t="shared" si="49"/>
        <v>5.3354424998871414E-2</v>
      </c>
      <c r="CG51" s="9">
        <f t="shared" si="49"/>
        <v>4.9137638010825289E-2</v>
      </c>
      <c r="CH51" s="9">
        <f t="shared" si="49"/>
        <v>4.3780827136172359E-2</v>
      </c>
      <c r="CI51" s="9">
        <f t="shared" si="49"/>
        <v>3.7245209988495342E-2</v>
      </c>
      <c r="CJ51" s="9">
        <f t="shared" si="49"/>
        <v>2.9581868172939191E-2</v>
      </c>
      <c r="CK51" s="9">
        <f t="shared" si="49"/>
        <v>2.0857306442767606E-2</v>
      </c>
      <c r="CL51" s="9">
        <f t="shared" si="49"/>
        <v>1.039440693783036E-2</v>
      </c>
      <c r="CM51" s="9">
        <f t="shared" si="49"/>
        <v>-1.7315023716274658E-3</v>
      </c>
      <c r="CN51" s="9">
        <f t="shared" si="49"/>
        <v>-1.518380746286041E-2</v>
      </c>
      <c r="CO51" s="9">
        <f t="shared" si="49"/>
        <v>-3.0151944765572369E-2</v>
      </c>
      <c r="CP51" s="9">
        <f t="shared" si="49"/>
        <v>-4.6587864901572053E-2</v>
      </c>
      <c r="CQ51" s="9">
        <f t="shared" si="49"/>
        <v>-6.4163413683522394E-2</v>
      </c>
      <c r="CR51" s="9">
        <f t="shared" si="49"/>
        <v>-8.309375746799344E-2</v>
      </c>
      <c r="CS51" s="9">
        <f t="shared" si="49"/>
        <v>-0.10330255178724347</v>
      </c>
      <c r="CT51" s="9">
        <f t="shared" si="49"/>
        <v>-0.12450512022214434</v>
      </c>
      <c r="CU51" s="9">
        <f t="shared" si="49"/>
        <v>-0.14688767612362233</v>
      </c>
      <c r="CV51" s="9">
        <f t="shared" si="49"/>
        <v>-0.17041672338577632</v>
      </c>
      <c r="CW51" s="9">
        <f t="shared" si="49"/>
        <v>-0.19477803045175782</v>
      </c>
      <c r="CX51" s="9">
        <f t="shared" si="49"/>
        <v>-0.22020008299461677</v>
      </c>
      <c r="CY51" s="9">
        <f t="shared" si="49"/>
        <v>-0.24661927869271921</v>
      </c>
      <c r="CZ51" s="9">
        <f t="shared" si="49"/>
        <v>-0.27374549442908619</v>
      </c>
      <c r="DA51" s="9">
        <f t="shared" si="49"/>
        <v>-0.30181264293327992</v>
      </c>
      <c r="DB51" s="9">
        <f t="shared" si="49"/>
        <v>-0.33077995045202802</v>
      </c>
      <c r="DC51" s="9">
        <f t="shared" si="49"/>
        <v>-0.36034385983014516</v>
      </c>
      <c r="DD51" s="9">
        <f t="shared" si="49"/>
        <v>-0.39072543190064113</v>
      </c>
      <c r="DE51" s="9">
        <f t="shared" si="49"/>
        <v>-0.42190687129782262</v>
      </c>
      <c r="DF51" s="9">
        <f t="shared" si="49"/>
        <v>-0.45358896683964495</v>
      </c>
      <c r="DG51" s="9">
        <f t="shared" si="49"/>
        <v>-0.48601457369105971</v>
      </c>
      <c r="DH51" s="9">
        <f t="shared" si="49"/>
        <v>-0.51913383634434107</v>
      </c>
      <c r="DI51" s="9">
        <f t="shared" si="49"/>
        <v>-0.55268741948547151</v>
      </c>
      <c r="DJ51" s="9">
        <f t="shared" si="49"/>
        <v>-0.58688577945590503</v>
      </c>
    </row>
    <row r="52" spans="1:114" x14ac:dyDescent="0.3">
      <c r="A52" t="s">
        <v>774</v>
      </c>
      <c r="B52" t="s">
        <v>686</v>
      </c>
      <c r="C52" t="s">
        <v>679</v>
      </c>
      <c r="D52">
        <v>0.14862964265690001</v>
      </c>
      <c r="E52">
        <v>0.13710132646236001</v>
      </c>
      <c r="F52">
        <v>0.12559792445704801</v>
      </c>
      <c r="G52">
        <v>0.16009420272279101</v>
      </c>
      <c r="H52">
        <v>0.15552766527022299</v>
      </c>
      <c r="I52">
        <v>0.14933902012435599</v>
      </c>
      <c r="J52">
        <v>0.14860335348895501</v>
      </c>
      <c r="K52">
        <v>0.147672765247611</v>
      </c>
      <c r="L52">
        <v>0.146610968755574</v>
      </c>
      <c r="M52">
        <v>0.14537769541395801</v>
      </c>
      <c r="N52">
        <v>0.14407341573891</v>
      </c>
      <c r="O52">
        <v>0.14302293716476799</v>
      </c>
      <c r="P52">
        <v>0.14237805295307401</v>
      </c>
      <c r="Q52">
        <v>0.14184372877211801</v>
      </c>
      <c r="R52">
        <v>0.14148082372419199</v>
      </c>
      <c r="S52">
        <v>0.14105649412812399</v>
      </c>
      <c r="T52">
        <v>0.14066941409286099</v>
      </c>
      <c r="U52">
        <v>0.14014591542089899</v>
      </c>
      <c r="V52">
        <v>0.139602989355571</v>
      </c>
      <c r="W52">
        <v>0.13911870089172701</v>
      </c>
      <c r="X52">
        <v>0.138695212567539</v>
      </c>
      <c r="Y52">
        <v>0.13824273553194499</v>
      </c>
      <c r="Z52">
        <v>0.13779047153160501</v>
      </c>
      <c r="AA52">
        <v>0.13741839395099201</v>
      </c>
      <c r="AB52">
        <v>0.13710034995422299</v>
      </c>
      <c r="AC52">
        <v>0.136764069554378</v>
      </c>
      <c r="AD52">
        <v>0.136404976551286</v>
      </c>
      <c r="AE52">
        <v>0.13608666670111499</v>
      </c>
      <c r="AF52">
        <v>0.13573321138295</v>
      </c>
      <c r="AG52">
        <v>0.135377485301057</v>
      </c>
      <c r="AH52">
        <v>0.13501169881644801</v>
      </c>
      <c r="AI52">
        <v>0.13466794196814</v>
      </c>
      <c r="AJ52">
        <v>0.13429670635323099</v>
      </c>
      <c r="AK52">
        <v>0.133920986171742</v>
      </c>
      <c r="AL52">
        <v>0.13349867558104</v>
      </c>
      <c r="AM52">
        <v>0.133114190682317</v>
      </c>
      <c r="AO52" t="str">
        <f t="shared" si="31"/>
        <v>Baseline uncompeted_Commercial Walls, 90.1 c. 2016</v>
      </c>
      <c r="AP52" s="111"/>
      <c r="AQ52" s="111"/>
      <c r="AR52" s="111"/>
      <c r="AS52" s="111"/>
      <c r="AT52" s="111"/>
      <c r="AU52" s="209"/>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row>
    <row r="53" spans="1:114" x14ac:dyDescent="0.3">
      <c r="A53" t="s">
        <v>774</v>
      </c>
      <c r="B53" t="s">
        <v>685</v>
      </c>
      <c r="C53" t="s">
        <v>679</v>
      </c>
      <c r="D53">
        <v>0.14862964265690001</v>
      </c>
      <c r="E53">
        <v>0.13710132646236001</v>
      </c>
      <c r="F53">
        <v>0.12559792445704801</v>
      </c>
      <c r="G53">
        <v>5.0028814599519598E-2</v>
      </c>
      <c r="H53">
        <v>4.9992447065746397E-2</v>
      </c>
      <c r="I53">
        <v>4.9253261144510903E-2</v>
      </c>
      <c r="J53">
        <v>5.0227211569165403E-2</v>
      </c>
      <c r="K53">
        <v>5.1095028735581201E-2</v>
      </c>
      <c r="L53">
        <v>5.1881149925757902E-2</v>
      </c>
      <c r="M53">
        <v>5.2576411045038199E-2</v>
      </c>
      <c r="N53">
        <v>5.3229284452642099E-2</v>
      </c>
      <c r="O53">
        <v>5.3982042339317797E-2</v>
      </c>
      <c r="P53">
        <v>5.4902824763346701E-2</v>
      </c>
      <c r="Q53">
        <v>5.5884460913940698E-2</v>
      </c>
      <c r="R53">
        <v>5.69577095802122E-2</v>
      </c>
      <c r="S53">
        <v>5.8033285020125398E-2</v>
      </c>
      <c r="T53">
        <v>5.9151621748255799E-2</v>
      </c>
      <c r="U53">
        <v>6.0241560960654597E-2</v>
      </c>
      <c r="V53">
        <v>6.1353941124744099E-2</v>
      </c>
      <c r="W53">
        <v>6.2518804787413396E-2</v>
      </c>
      <c r="X53">
        <v>6.3741693267814398E-2</v>
      </c>
      <c r="Y53">
        <v>6.4986486497751295E-2</v>
      </c>
      <c r="Z53">
        <v>6.6264426558013803E-2</v>
      </c>
      <c r="AA53">
        <v>6.7624376926809407E-2</v>
      </c>
      <c r="AB53">
        <v>6.9058751883596101E-2</v>
      </c>
      <c r="AC53">
        <v>7.0530367631346694E-2</v>
      </c>
      <c r="AD53">
        <v>7.2039819555338003E-2</v>
      </c>
      <c r="AE53">
        <v>7.3622678247569198E-2</v>
      </c>
      <c r="AF53">
        <v>7.5233580490821697E-2</v>
      </c>
      <c r="AG53">
        <v>7.6895935937067394E-2</v>
      </c>
      <c r="AH53">
        <v>7.8607753573534903E-2</v>
      </c>
      <c r="AI53">
        <v>8.03816630182492E-2</v>
      </c>
      <c r="AJ53">
        <v>8.2195104424443693E-2</v>
      </c>
      <c r="AK53">
        <v>8.4060738034100996E-2</v>
      </c>
      <c r="AL53">
        <v>8.5944566828822205E-2</v>
      </c>
      <c r="AM53">
        <v>8.7905168168493003E-2</v>
      </c>
      <c r="AO53" t="str">
        <f t="shared" si="31"/>
        <v>Efficient uncompeted_Commercial Walls, 90.1 c. 2016</v>
      </c>
      <c r="AP53" s="111">
        <f t="shared" ref="AP53:BY53" si="50">(D52-D53)*293071083333.33</f>
        <v>0</v>
      </c>
      <c r="AQ53" s="111">
        <f t="shared" si="50"/>
        <v>0</v>
      </c>
      <c r="AR53" s="111">
        <f t="shared" si="50"/>
        <v>0</v>
      </c>
      <c r="AS53" s="111">
        <f t="shared" si="50"/>
        <v>32256982534.790588</v>
      </c>
      <c r="AT53" s="111">
        <f t="shared" si="50"/>
        <v>30929320729.005325</v>
      </c>
      <c r="AU53" s="209">
        <f t="shared" si="50"/>
        <v>29332241810.461765</v>
      </c>
      <c r="AV53" s="111">
        <f t="shared" si="50"/>
        <v>28831202486.586159</v>
      </c>
      <c r="AW53" s="111">
        <f t="shared" si="50"/>
        <v>28304141865.461475</v>
      </c>
      <c r="AX53" s="111">
        <f t="shared" si="50"/>
        <v>27762570628.42429</v>
      </c>
      <c r="AY53" s="111">
        <f t="shared" si="50"/>
        <v>27197372944.723755</v>
      </c>
      <c r="AZ53" s="111">
        <f t="shared" si="50"/>
        <v>26623787970.54179</v>
      </c>
      <c r="BA53" s="111">
        <f t="shared" si="50"/>
        <v>26095311507.463787</v>
      </c>
      <c r="BB53" s="111">
        <f t="shared" si="50"/>
        <v>25636459890.393631</v>
      </c>
      <c r="BC53" s="111">
        <f t="shared" si="50"/>
        <v>25192175753.73592</v>
      </c>
      <c r="BD53" s="111">
        <f t="shared" si="50"/>
        <v>24771280628.882862</v>
      </c>
      <c r="BE53" s="111">
        <f t="shared" si="50"/>
        <v>24331701835.09074</v>
      </c>
      <c r="BF53" s="111">
        <f t="shared" si="50"/>
        <v>23890507713.374878</v>
      </c>
      <c r="BG53" s="111">
        <f t="shared" si="50"/>
        <v>23417655724.714226</v>
      </c>
      <c r="BH53" s="111">
        <f t="shared" si="50"/>
        <v>22932533334.810429</v>
      </c>
      <c r="BI53" s="111">
        <f t="shared" si="50"/>
        <v>22449214534.511715</v>
      </c>
      <c r="BJ53" s="111">
        <f t="shared" si="50"/>
        <v>21966709100.815948</v>
      </c>
      <c r="BK53" s="111">
        <f t="shared" si="50"/>
        <v>21469288265.38736</v>
      </c>
      <c r="BL53" s="111">
        <f t="shared" si="50"/>
        <v>20962215486.958858</v>
      </c>
      <c r="BM53" s="111">
        <f t="shared" si="50"/>
        <v>20454608179.462074</v>
      </c>
      <c r="BN53" s="111">
        <f t="shared" si="50"/>
        <v>19941024858.289639</v>
      </c>
      <c r="BO53" s="111">
        <f t="shared" si="50"/>
        <v>19411182775.759651</v>
      </c>
      <c r="BP53" s="111">
        <f t="shared" si="50"/>
        <v>18863566289.722343</v>
      </c>
      <c r="BQ53" s="111">
        <f t="shared" si="50"/>
        <v>18306388765.401283</v>
      </c>
      <c r="BR53" s="111">
        <f t="shared" si="50"/>
        <v>17730692366.822639</v>
      </c>
      <c r="BS53" s="111">
        <f t="shared" si="50"/>
        <v>17139251027.116053</v>
      </c>
      <c r="BT53" s="111">
        <f t="shared" si="50"/>
        <v>16530365336.614368</v>
      </c>
      <c r="BU53" s="111">
        <f t="shared" si="50"/>
        <v>15909738581.979845</v>
      </c>
      <c r="BV53" s="111">
        <f t="shared" si="50"/>
        <v>15269472920.67161</v>
      </c>
      <c r="BW53" s="111">
        <f t="shared" si="50"/>
        <v>14612596936.9671</v>
      </c>
      <c r="BX53" s="111">
        <f t="shared" si="50"/>
        <v>13936734168.963461</v>
      </c>
      <c r="BY53" s="111">
        <f t="shared" si="50"/>
        <v>13249457204.567307</v>
      </c>
      <c r="CA53" s="9">
        <f t="shared" ref="CA53:DJ53" si="51">(D52-D53)/D52</f>
        <v>0</v>
      </c>
      <c r="CB53" s="9">
        <f t="shared" si="51"/>
        <v>0</v>
      </c>
      <c r="CC53" s="9">
        <f t="shared" si="51"/>
        <v>0</v>
      </c>
      <c r="CD53" s="9">
        <f t="shared" si="51"/>
        <v>0.68750389615202789</v>
      </c>
      <c r="CE53" s="9">
        <f t="shared" si="51"/>
        <v>0.67856235108469887</v>
      </c>
      <c r="CF53" s="9">
        <f t="shared" si="51"/>
        <v>0.67019161433162444</v>
      </c>
      <c r="CG53" s="9">
        <f t="shared" si="51"/>
        <v>0.66200485796642161</v>
      </c>
      <c r="CH53" s="9">
        <f t="shared" si="51"/>
        <v>0.65399829379569507</v>
      </c>
      <c r="CI53" s="9">
        <f t="shared" si="51"/>
        <v>0.64613050192545407</v>
      </c>
      <c r="CJ53" s="9">
        <f t="shared" si="51"/>
        <v>0.63834609638480877</v>
      </c>
      <c r="CK53" s="9">
        <f t="shared" si="51"/>
        <v>0.63054055337242598</v>
      </c>
      <c r="CL53" s="9">
        <f t="shared" si="51"/>
        <v>0.62256374110728552</v>
      </c>
      <c r="CM53" s="9">
        <f t="shared" si="51"/>
        <v>0.61438702366970854</v>
      </c>
      <c r="CN53" s="9">
        <f t="shared" si="51"/>
        <v>0.60601387599078815</v>
      </c>
      <c r="CO53" s="9">
        <f t="shared" si="51"/>
        <v>0.59741745855786299</v>
      </c>
      <c r="CP53" s="9">
        <f t="shared" si="51"/>
        <v>0.58858126044581272</v>
      </c>
      <c r="CQ53" s="9">
        <f t="shared" si="51"/>
        <v>0.57949905365207766</v>
      </c>
      <c r="CR53" s="9">
        <f t="shared" si="51"/>
        <v>0.57015114725440519</v>
      </c>
      <c r="CS53" s="9">
        <f t="shared" si="51"/>
        <v>0.56051126549679642</v>
      </c>
      <c r="CT53" s="9">
        <f t="shared" si="51"/>
        <v>0.55060819008027984</v>
      </c>
      <c r="CU53" s="9">
        <f t="shared" si="51"/>
        <v>0.54041893668986773</v>
      </c>
      <c r="CV53" s="9">
        <f t="shared" si="51"/>
        <v>0.52991029693032743</v>
      </c>
      <c r="CW53" s="9">
        <f t="shared" si="51"/>
        <v>0.51909282389809708</v>
      </c>
      <c r="CX53" s="9">
        <f t="shared" si="51"/>
        <v>0.50789428560104899</v>
      </c>
      <c r="CY53" s="9">
        <f t="shared" si="51"/>
        <v>0.49629047696337453</v>
      </c>
      <c r="CZ53" s="9">
        <f t="shared" si="51"/>
        <v>0.48429168668965716</v>
      </c>
      <c r="DA53" s="9">
        <f t="shared" si="51"/>
        <v>0.47186809912135258</v>
      </c>
      <c r="DB53" s="9">
        <f t="shared" si="51"/>
        <v>0.45900153165434254</v>
      </c>
      <c r="DC53" s="9">
        <f t="shared" si="51"/>
        <v>0.4457245966238732</v>
      </c>
      <c r="DD53" s="9">
        <f t="shared" si="51"/>
        <v>0.43198874047583596</v>
      </c>
      <c r="DE53" s="9">
        <f t="shared" si="51"/>
        <v>0.41777079865942407</v>
      </c>
      <c r="DF53" s="9">
        <f t="shared" si="51"/>
        <v>0.40311211530012059</v>
      </c>
      <c r="DG53" s="9">
        <f t="shared" si="51"/>
        <v>0.38795889596687644</v>
      </c>
      <c r="DH53" s="9">
        <f t="shared" si="51"/>
        <v>0.37231093918095542</v>
      </c>
      <c r="DI53" s="9">
        <f t="shared" si="51"/>
        <v>0.35621408635885837</v>
      </c>
      <c r="DJ53" s="9">
        <f t="shared" si="51"/>
        <v>0.33962586770119318</v>
      </c>
    </row>
    <row r="54" spans="1:114" x14ac:dyDescent="0.3">
      <c r="A54" t="s">
        <v>769</v>
      </c>
      <c r="B54" t="s">
        <v>686</v>
      </c>
      <c r="C54" t="s">
        <v>22</v>
      </c>
      <c r="D54">
        <v>8.0980318699999998E-2</v>
      </c>
      <c r="E54">
        <v>8.3237936700000001E-2</v>
      </c>
      <c r="F54">
        <v>8.4253856200000005E-2</v>
      </c>
      <c r="G54">
        <v>8.5536660400000006E-2</v>
      </c>
      <c r="H54">
        <v>8.6691936799999994E-2</v>
      </c>
      <c r="I54">
        <v>8.7587429199999997E-2</v>
      </c>
      <c r="J54">
        <v>8.8199803699999996E-2</v>
      </c>
      <c r="K54">
        <v>8.8678480599999998E-2</v>
      </c>
      <c r="L54">
        <v>8.8986591700000006E-2</v>
      </c>
      <c r="M54">
        <v>8.9165185800000005E-2</v>
      </c>
      <c r="N54">
        <v>8.9391331500000004E-2</v>
      </c>
      <c r="O54">
        <v>8.9866618300000006E-2</v>
      </c>
      <c r="P54">
        <v>9.0580057500000005E-2</v>
      </c>
      <c r="Q54">
        <v>9.1382553199999994E-2</v>
      </c>
      <c r="R54">
        <v>9.2214059900000006E-2</v>
      </c>
      <c r="S54">
        <v>9.30809056E-2</v>
      </c>
      <c r="T54">
        <v>9.4019950000000005E-2</v>
      </c>
      <c r="U54">
        <v>9.4884932199999994E-2</v>
      </c>
      <c r="V54">
        <v>9.5698310300000006E-2</v>
      </c>
      <c r="W54">
        <v>9.6531422500000005E-2</v>
      </c>
      <c r="X54">
        <v>9.7383878399999999E-2</v>
      </c>
      <c r="Y54">
        <v>9.8214617000000004E-2</v>
      </c>
      <c r="Z54">
        <v>9.9028426000000003E-2</v>
      </c>
      <c r="AA54">
        <v>9.9895188600000004E-2</v>
      </c>
      <c r="AB54">
        <v>0.10078711579999999</v>
      </c>
      <c r="AC54">
        <v>0.1016627127</v>
      </c>
      <c r="AD54">
        <v>0.102560573</v>
      </c>
      <c r="AE54">
        <v>0.10344365780000001</v>
      </c>
      <c r="AF54">
        <v>0.1042827554</v>
      </c>
      <c r="AG54">
        <v>0.1051025679</v>
      </c>
      <c r="AH54">
        <v>0.10591014429999999</v>
      </c>
      <c r="AI54">
        <v>0.10672656129999999</v>
      </c>
      <c r="AJ54">
        <v>0.1075477735</v>
      </c>
      <c r="AK54">
        <v>0.1083308318</v>
      </c>
      <c r="AL54">
        <v>0.1090499439</v>
      </c>
      <c r="AM54">
        <v>0.1097810018</v>
      </c>
      <c r="AO54" t="str">
        <f t="shared" si="31"/>
        <v>Baseline uncompeted_ENERGY STAR Commercial Gas WH v. 1.0</v>
      </c>
      <c r="AP54" s="111"/>
      <c r="AQ54" s="111"/>
      <c r="AR54" s="111"/>
      <c r="AS54" s="111"/>
      <c r="AT54" s="111"/>
      <c r="AU54" s="209"/>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row>
    <row r="55" spans="1:114" x14ac:dyDescent="0.3">
      <c r="A55" t="s">
        <v>769</v>
      </c>
      <c r="B55" t="s">
        <v>685</v>
      </c>
      <c r="C55" t="s">
        <v>22</v>
      </c>
      <c r="D55">
        <v>7.2960956407098501E-2</v>
      </c>
      <c r="E55">
        <v>7.5086819231691193E-2</v>
      </c>
      <c r="F55">
        <v>7.6169834301820005E-2</v>
      </c>
      <c r="G55">
        <v>7.7556586229283297E-2</v>
      </c>
      <c r="H55">
        <v>7.8878384079615602E-2</v>
      </c>
      <c r="I55">
        <v>8.0000861037314297E-2</v>
      </c>
      <c r="J55">
        <v>8.0890451478536102E-2</v>
      </c>
      <c r="K55">
        <v>8.1673549158903999E-2</v>
      </c>
      <c r="L55">
        <v>8.2308204547816302E-2</v>
      </c>
      <c r="M55">
        <v>8.2825485774216501E-2</v>
      </c>
      <c r="N55">
        <v>8.3384855736967897E-2</v>
      </c>
      <c r="O55">
        <v>8.4172565277781206E-2</v>
      </c>
      <c r="P55">
        <v>8.51786125187734E-2</v>
      </c>
      <c r="Q55">
        <v>8.62627667503299E-2</v>
      </c>
      <c r="R55">
        <v>8.7367478815311303E-2</v>
      </c>
      <c r="S55">
        <v>8.8497754993942399E-2</v>
      </c>
      <c r="T55">
        <v>8.9687905927635606E-2</v>
      </c>
      <c r="U55">
        <v>9.0797834706462993E-2</v>
      </c>
      <c r="V55">
        <v>9.18478733683461E-2</v>
      </c>
      <c r="W55">
        <v>9.2905835954583904E-2</v>
      </c>
      <c r="X55">
        <v>9.3971305415625803E-2</v>
      </c>
      <c r="Y55">
        <v>9.5004635034622198E-2</v>
      </c>
      <c r="Z55">
        <v>9.60104766967389E-2</v>
      </c>
      <c r="AA55">
        <v>9.7056734400886496E-2</v>
      </c>
      <c r="AB55">
        <v>9.8116908208563003E-2</v>
      </c>
      <c r="AC55">
        <v>9.9151049434328994E-2</v>
      </c>
      <c r="AD55">
        <v>0.100197095923988</v>
      </c>
      <c r="AE55">
        <v>0.10121928372753899</v>
      </c>
      <c r="AF55">
        <v>0.102189321727891</v>
      </c>
      <c r="AG55">
        <v>0.10313164422814999</v>
      </c>
      <c r="AH55">
        <v>0.104053537221224</v>
      </c>
      <c r="AI55">
        <v>0.10497614787045</v>
      </c>
      <c r="AJ55">
        <v>0.105895902706911</v>
      </c>
      <c r="AK55">
        <v>0.10677100875614599</v>
      </c>
      <c r="AL55">
        <v>0.107576218956424</v>
      </c>
      <c r="AM55">
        <v>0.108386796341075</v>
      </c>
      <c r="AO55" t="str">
        <f t="shared" si="31"/>
        <v>Efficient uncompeted_ENERGY STAR Commercial Gas WH v. 1.0</v>
      </c>
      <c r="AP55" s="111">
        <f t="shared" ref="AP55:BY55" si="52">(D54-D55)*293071083333.33</f>
        <v>2350243194.8230991</v>
      </c>
      <c r="AQ55" s="111">
        <f t="shared" si="52"/>
        <v>2388856826.8144927</v>
      </c>
      <c r="AR55" s="111">
        <f t="shared" si="52"/>
        <v>2369193055.3899751</v>
      </c>
      <c r="AS55" s="111">
        <f t="shared" si="52"/>
        <v>2338728982.2922707</v>
      </c>
      <c r="AT55" s="111">
        <f t="shared" si="52"/>
        <v>2289926360.4451418</v>
      </c>
      <c r="AU55" s="209">
        <f t="shared" si="52"/>
        <v>2223403750.2204494</v>
      </c>
      <c r="AV55" s="111">
        <f t="shared" si="52"/>
        <v>2142159774.0093057</v>
      </c>
      <c r="AW55" s="111">
        <f t="shared" si="52"/>
        <v>2052942846.1177092</v>
      </c>
      <c r="AX55" s="111">
        <f t="shared" si="52"/>
        <v>1957242157.6098709</v>
      </c>
      <c r="AY55" s="111">
        <f t="shared" si="52"/>
        <v>1857982754.5647118</v>
      </c>
      <c r="AZ55" s="111">
        <f t="shared" si="52"/>
        <v>1760324358.8872097</v>
      </c>
      <c r="BA55" s="111">
        <f t="shared" si="52"/>
        <v>1668762287.7790859</v>
      </c>
      <c r="BB55" s="111">
        <f t="shared" si="52"/>
        <v>1583007332.2134595</v>
      </c>
      <c r="BC55" s="111">
        <f t="shared" si="52"/>
        <v>1500461361.240118</v>
      </c>
      <c r="BD55" s="111">
        <f t="shared" si="52"/>
        <v>1420392768.952544</v>
      </c>
      <c r="BE55" s="111">
        <f t="shared" si="52"/>
        <v>1343188913.1971092</v>
      </c>
      <c r="BF55" s="111">
        <f t="shared" si="52"/>
        <v>1269596849.3355653</v>
      </c>
      <c r="BG55" s="111">
        <f t="shared" si="52"/>
        <v>1197810090.1198266</v>
      </c>
      <c r="BH55" s="111">
        <f t="shared" si="52"/>
        <v>1128451722.8664732</v>
      </c>
      <c r="BI55" s="111">
        <f t="shared" si="52"/>
        <v>1062554576.5838423</v>
      </c>
      <c r="BJ55" s="111">
        <f t="shared" si="52"/>
        <v>1000126461.4846007</v>
      </c>
      <c r="BK55" s="111">
        <f t="shared" si="52"/>
        <v>940752892.07372546</v>
      </c>
      <c r="BL55" s="111">
        <f t="shared" si="52"/>
        <v>884473671.75179994</v>
      </c>
      <c r="BM55" s="111">
        <f t="shared" si="52"/>
        <v>831868847.12623525</v>
      </c>
      <c r="BN55" s="111">
        <f t="shared" si="52"/>
        <v>782560631.54732072</v>
      </c>
      <c r="BO55" s="111">
        <f t="shared" si="52"/>
        <v>736095874.23873246</v>
      </c>
      <c r="BP55" s="111">
        <f t="shared" si="52"/>
        <v>692666787.10032952</v>
      </c>
      <c r="BQ55" s="111">
        <f t="shared" si="52"/>
        <v>651899719.15471947</v>
      </c>
      <c r="BR55" s="111">
        <f t="shared" si="52"/>
        <v>613524874.1714555</v>
      </c>
      <c r="BS55" s="111">
        <f t="shared" si="52"/>
        <v>577620735.67638576</v>
      </c>
      <c r="BT55" s="111">
        <f t="shared" si="52"/>
        <v>544117847.90121031</v>
      </c>
      <c r="BU55" s="111">
        <f t="shared" si="52"/>
        <v>512995560.07942778</v>
      </c>
      <c r="BV55" s="111">
        <f t="shared" si="52"/>
        <v>484115562.85727936</v>
      </c>
      <c r="BW55" s="111">
        <f t="shared" si="52"/>
        <v>457139029.27058578</v>
      </c>
      <c r="BX55" s="111">
        <f t="shared" si="52"/>
        <v>431906165.74917036</v>
      </c>
      <c r="BY55" s="111">
        <f t="shared" si="52"/>
        <v>408601304.23639369</v>
      </c>
      <c r="CA55" s="9">
        <f t="shared" ref="CA55:DJ55" si="53">(D54-D55)/D54</f>
        <v>9.9028534607403282E-2</v>
      </c>
      <c r="CB55" s="9">
        <f t="shared" si="53"/>
        <v>9.792551078826546E-2</v>
      </c>
      <c r="CC55" s="9">
        <f t="shared" si="53"/>
        <v>9.5948390528147701E-2</v>
      </c>
      <c r="CD55" s="9">
        <f t="shared" si="53"/>
        <v>9.3294198457118019E-2</v>
      </c>
      <c r="CE55" s="9">
        <f t="shared" si="53"/>
        <v>9.0130097547715574E-2</v>
      </c>
      <c r="CF55" s="9">
        <f t="shared" si="53"/>
        <v>8.6617089141436981E-2</v>
      </c>
      <c r="CG55" s="9">
        <f t="shared" si="53"/>
        <v>8.2872658609600677E-2</v>
      </c>
      <c r="CH55" s="9">
        <f t="shared" si="53"/>
        <v>7.8992461234118155E-2</v>
      </c>
      <c r="CI55" s="9">
        <f t="shared" si="53"/>
        <v>7.5049364455922904E-2</v>
      </c>
      <c r="CJ55" s="9">
        <f t="shared" si="53"/>
        <v>7.1100620369968476E-2</v>
      </c>
      <c r="CK55" s="9">
        <f t="shared" si="53"/>
        <v>6.7193045032919174E-2</v>
      </c>
      <c r="CL55" s="9">
        <f t="shared" si="53"/>
        <v>6.3361158235758386E-2</v>
      </c>
      <c r="CM55" s="9">
        <f t="shared" si="53"/>
        <v>5.9631723917006843E-2</v>
      </c>
      <c r="CN55" s="9">
        <f t="shared" si="53"/>
        <v>5.6025863475984539E-2</v>
      </c>
      <c r="CO55" s="9">
        <f t="shared" si="53"/>
        <v>5.2557940621468104E-2</v>
      </c>
      <c r="CP55" s="9">
        <f t="shared" si="53"/>
        <v>4.9238354273785673E-2</v>
      </c>
      <c r="CQ55" s="9">
        <f t="shared" si="53"/>
        <v>4.6075796385388411E-2</v>
      </c>
      <c r="CR55" s="9">
        <f t="shared" si="53"/>
        <v>4.3074252136494663E-2</v>
      </c>
      <c r="CS55" s="9">
        <f t="shared" si="53"/>
        <v>4.0235161097237321E-2</v>
      </c>
      <c r="CT55" s="9">
        <f t="shared" si="53"/>
        <v>3.7558615127795313E-2</v>
      </c>
      <c r="CU55" s="9">
        <f t="shared" si="53"/>
        <v>3.5042483832459441E-2</v>
      </c>
      <c r="CV55" s="9">
        <f t="shared" si="53"/>
        <v>3.2683342494506759E-2</v>
      </c>
      <c r="CW55" s="9">
        <f t="shared" si="53"/>
        <v>3.0475585901578426E-2</v>
      </c>
      <c r="CX55" s="9">
        <f t="shared" si="53"/>
        <v>2.8414323441334467E-2</v>
      </c>
      <c r="CY55" s="9">
        <f t="shared" si="53"/>
        <v>2.6493541066654778E-2</v>
      </c>
      <c r="CZ55" s="9">
        <f t="shared" si="53"/>
        <v>2.47058454271505E-2</v>
      </c>
      <c r="DA55" s="9">
        <f t="shared" si="53"/>
        <v>2.3044694533951218E-2</v>
      </c>
      <c r="DB55" s="9">
        <f t="shared" si="53"/>
        <v>2.1503242632444988E-2</v>
      </c>
      <c r="DC55" s="9">
        <f t="shared" si="53"/>
        <v>2.0074591087271935E-2</v>
      </c>
      <c r="DD55" s="9">
        <f t="shared" si="53"/>
        <v>1.8752383611837571E-2</v>
      </c>
      <c r="DE55" s="9">
        <f t="shared" si="53"/>
        <v>1.7530021236841956E-2</v>
      </c>
      <c r="DF55" s="9">
        <f t="shared" si="53"/>
        <v>1.6400916587481201E-2</v>
      </c>
      <c r="DG55" s="9">
        <f t="shared" si="53"/>
        <v>1.5359414140628368E-2</v>
      </c>
      <c r="DH55" s="9">
        <f t="shared" si="53"/>
        <v>1.4398699040119487E-2</v>
      </c>
      <c r="DI55" s="9">
        <f t="shared" si="53"/>
        <v>1.3514220098337939E-2</v>
      </c>
      <c r="DJ55" s="9">
        <f t="shared" si="53"/>
        <v>1.2699879178229586E-2</v>
      </c>
    </row>
    <row r="56" spans="1:114" x14ac:dyDescent="0.3">
      <c r="A56" t="s">
        <v>768</v>
      </c>
      <c r="B56" t="s">
        <v>686</v>
      </c>
      <c r="C56" t="s">
        <v>20</v>
      </c>
      <c r="D56">
        <v>2.5237334898875599E-2</v>
      </c>
      <c r="E56">
        <v>2.3334015511758999E-2</v>
      </c>
      <c r="F56">
        <v>1.9497176424381701E-2</v>
      </c>
      <c r="G56">
        <v>1.32282821299483E-2</v>
      </c>
      <c r="H56">
        <v>1.02878963760901E-2</v>
      </c>
      <c r="I56">
        <v>9.7864264435276894E-3</v>
      </c>
      <c r="J56">
        <v>8.24133222094252E-3</v>
      </c>
      <c r="K56">
        <v>6.98267949595416E-3</v>
      </c>
      <c r="L56">
        <v>5.9382993164935104E-3</v>
      </c>
      <c r="M56">
        <v>5.1131976791853303E-3</v>
      </c>
      <c r="N56">
        <v>4.3781748999503498E-3</v>
      </c>
      <c r="O56">
        <v>3.7641446031250799E-3</v>
      </c>
      <c r="P56">
        <v>3.25513909443173E-3</v>
      </c>
      <c r="Q56">
        <v>2.8269477545462001E-3</v>
      </c>
      <c r="R56">
        <v>2.4773467952413902E-3</v>
      </c>
      <c r="S56">
        <v>2.1047756885631901E-3</v>
      </c>
      <c r="T56">
        <v>1.79726076121219E-3</v>
      </c>
      <c r="U56">
        <v>1.5307150573476401E-3</v>
      </c>
      <c r="V56">
        <v>1.3131971197746001E-3</v>
      </c>
      <c r="W56">
        <v>1.1294807198226999E-3</v>
      </c>
      <c r="X56">
        <v>9.8094147374294606E-4</v>
      </c>
      <c r="Y56">
        <v>8.5464297844762898E-4</v>
      </c>
      <c r="Z56">
        <v>7.4166788881281696E-4</v>
      </c>
      <c r="AA56">
        <v>6.4466857632987297E-4</v>
      </c>
      <c r="AB56">
        <v>5.6690172665139799E-4</v>
      </c>
      <c r="AC56">
        <v>4.8471969672983902E-4</v>
      </c>
      <c r="AD56">
        <v>4.14179431210731E-4</v>
      </c>
      <c r="AE56">
        <v>3.5641810720280702E-4</v>
      </c>
      <c r="AF56">
        <v>3.0874318239160301E-4</v>
      </c>
      <c r="AG56">
        <v>2.6835491469434501E-4</v>
      </c>
      <c r="AH56">
        <v>2.3084281904043799E-4</v>
      </c>
      <c r="AI56">
        <v>2.0096497432726799E-4</v>
      </c>
      <c r="AJ56">
        <v>1.7836783492208299E-4</v>
      </c>
      <c r="AK56">
        <v>1.55731993579426E-4</v>
      </c>
      <c r="AL56">
        <v>1.36021029909572E-4</v>
      </c>
      <c r="AM56">
        <v>1.21959144866351E-4</v>
      </c>
      <c r="AO56" t="str">
        <f t="shared" si="31"/>
        <v>Baseline uncompeted_ENERGY STAR Commercial LED Lighting</v>
      </c>
      <c r="AP56" s="111"/>
      <c r="AQ56" s="111"/>
      <c r="AR56" s="111"/>
      <c r="AS56" s="111"/>
      <c r="AT56" s="111"/>
      <c r="AU56" s="209"/>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row>
    <row r="57" spans="1:114" x14ac:dyDescent="0.3">
      <c r="A57" t="s">
        <v>768</v>
      </c>
      <c r="B57" t="s">
        <v>685</v>
      </c>
      <c r="C57" t="s">
        <v>20</v>
      </c>
      <c r="D57">
        <v>1.5655415721699699E-2</v>
      </c>
      <c r="E57">
        <v>1.5218420094373301E-2</v>
      </c>
      <c r="F57">
        <v>1.26197770345652E-2</v>
      </c>
      <c r="G57">
        <v>7.3669610273891604E-3</v>
      </c>
      <c r="H57">
        <v>5.2646342605255497E-3</v>
      </c>
      <c r="I57">
        <v>5.5213284706571901E-3</v>
      </c>
      <c r="J57">
        <v>4.6216249920241499E-3</v>
      </c>
      <c r="K57">
        <v>3.8967050490618898E-3</v>
      </c>
      <c r="L57">
        <v>3.29624924692765E-3</v>
      </c>
      <c r="M57">
        <v>2.8361657824868699E-3</v>
      </c>
      <c r="N57">
        <v>2.4203251030605801E-3</v>
      </c>
      <c r="O57">
        <v>2.0756069877796101E-3</v>
      </c>
      <c r="P57">
        <v>1.7925811371685199E-3</v>
      </c>
      <c r="Q57">
        <v>1.5555371697127799E-3</v>
      </c>
      <c r="R57">
        <v>1.3665455284398199E-3</v>
      </c>
      <c r="S57">
        <v>1.16093396499544E-3</v>
      </c>
      <c r="T57">
        <v>9.9174519873581907E-4</v>
      </c>
      <c r="U57">
        <v>8.4457468871618896E-4</v>
      </c>
      <c r="V57">
        <v>7.2487057263205599E-4</v>
      </c>
      <c r="W57">
        <v>6.2367269247789396E-4</v>
      </c>
      <c r="X57">
        <v>5.4493583256402095E-4</v>
      </c>
      <c r="Y57">
        <v>4.7751708843800101E-4</v>
      </c>
      <c r="Z57">
        <v>4.1533598707963799E-4</v>
      </c>
      <c r="AA57">
        <v>3.61245331746836E-4</v>
      </c>
      <c r="AB57">
        <v>3.2029720924919901E-4</v>
      </c>
      <c r="AC57">
        <v>2.7558089891623598E-4</v>
      </c>
      <c r="AD57">
        <v>2.36185331438748E-4</v>
      </c>
      <c r="AE57">
        <v>2.0433316116431899E-4</v>
      </c>
      <c r="AF57">
        <v>1.7826263465908399E-4</v>
      </c>
      <c r="AG57">
        <v>1.5615519194537799E-4</v>
      </c>
      <c r="AH57">
        <v>1.3463880424498999E-4</v>
      </c>
      <c r="AI57">
        <v>1.18015806021357E-4</v>
      </c>
      <c r="AJ57">
        <v>1.0654312582704E-4</v>
      </c>
      <c r="AK57">
        <v>9.3190141918949703E-5</v>
      </c>
      <c r="AL57">
        <v>8.2056841356283297E-5</v>
      </c>
      <c r="AM57">
        <v>7.4903529951246499E-5</v>
      </c>
      <c r="AO57" t="str">
        <f t="shared" si="31"/>
        <v>Efficient uncompeted_ENERGY STAR Commercial LED Lighting</v>
      </c>
      <c r="AP57" s="111">
        <f t="shared" ref="AP57:BY57" si="54">(D56-D57)*293071083333.33</f>
        <v>2808183433.6673512</v>
      </c>
      <c r="AQ57" s="111">
        <f t="shared" si="54"/>
        <v>2378446340.8682351</v>
      </c>
      <c r="AR57" s="111">
        <f t="shared" si="54"/>
        <v>2015566889.6895049</v>
      </c>
      <c r="AS57" s="111">
        <f t="shared" si="54"/>
        <v>1717783725.2915154</v>
      </c>
      <c r="AT57" s="111">
        <f t="shared" si="54"/>
        <v>1472172870.0757778</v>
      </c>
      <c r="AU57" s="209">
        <f t="shared" si="54"/>
        <v>1249976883.431947</v>
      </c>
      <c r="AV57" s="111">
        <f t="shared" si="54"/>
        <v>1060831518.9285927</v>
      </c>
      <c r="AW57" s="111">
        <f t="shared" si="54"/>
        <v>904409874.28969157</v>
      </c>
      <c r="AX57" s="111">
        <f t="shared" si="54"/>
        <v>774308476.10856664</v>
      </c>
      <c r="AY57" s="111">
        <f t="shared" si="54"/>
        <v>667332204.74996495</v>
      </c>
      <c r="AZ57" s="111">
        <f t="shared" si="54"/>
        <v>573789160.97842491</v>
      </c>
      <c r="BA57" s="111">
        <f t="shared" si="54"/>
        <v>494861548.17837453</v>
      </c>
      <c r="BB57" s="111">
        <f t="shared" si="54"/>
        <v>428633444.97291118</v>
      </c>
      <c r="BC57" s="111">
        <f t="shared" si="54"/>
        <v>372613677.45859313</v>
      </c>
      <c r="BD57" s="111">
        <f t="shared" si="54"/>
        <v>325543730.62957156</v>
      </c>
      <c r="BE57" s="111">
        <f t="shared" si="54"/>
        <v>276612716.42119795</v>
      </c>
      <c r="BF57" s="111">
        <f t="shared" si="54"/>
        <v>236073318.5368067</v>
      </c>
      <c r="BG57" s="111">
        <f t="shared" si="54"/>
        <v>201087901.15354979</v>
      </c>
      <c r="BH57" s="111">
        <f t="shared" si="54"/>
        <v>172421498.52482283</v>
      </c>
      <c r="BI57" s="111">
        <f t="shared" si="54"/>
        <v>148237706.53263688</v>
      </c>
      <c r="BJ57" s="111">
        <f t="shared" si="54"/>
        <v>127780645.59975074</v>
      </c>
      <c r="BK57" s="111">
        <f t="shared" si="54"/>
        <v>110524693.13816793</v>
      </c>
      <c r="BL57" s="111">
        <f t="shared" si="54"/>
        <v>95638443.967168555</v>
      </c>
      <c r="BM57" s="111">
        <f t="shared" si="54"/>
        <v>83063157.331798002</v>
      </c>
      <c r="BN57" s="111">
        <f t="shared" si="54"/>
        <v>72272653.069955483</v>
      </c>
      <c r="BO57" s="111">
        <f t="shared" si="54"/>
        <v>61292534.042262912</v>
      </c>
      <c r="BP57" s="111">
        <f t="shared" si="54"/>
        <v>52164923.647115886</v>
      </c>
      <c r="BQ57" s="111">
        <f t="shared" si="54"/>
        <v>44571699.894190721</v>
      </c>
      <c r="BR57" s="111">
        <f t="shared" si="54"/>
        <v>38240075.477895625</v>
      </c>
      <c r="BS57" s="111">
        <f t="shared" si="54"/>
        <v>32882494.295739036</v>
      </c>
      <c r="BT57" s="111">
        <f t="shared" si="54"/>
        <v>28194614.837117657</v>
      </c>
      <c r="BU57" s="111">
        <f t="shared" si="54"/>
        <v>24310002.617012057</v>
      </c>
      <c r="BV57" s="111">
        <f t="shared" si="54"/>
        <v>21049745.304585531</v>
      </c>
      <c r="BW57" s="111">
        <f t="shared" si="54"/>
        <v>18329208.219808213</v>
      </c>
      <c r="BX57" s="111">
        <f t="shared" si="54"/>
        <v>15815343.200516408</v>
      </c>
      <c r="BY57" s="111">
        <f t="shared" si="54"/>
        <v>13790640.040085679</v>
      </c>
      <c r="CA57" s="9">
        <f t="shared" ref="CA57:DJ57" si="55">(D56-D57)/D56</f>
        <v>0.37967238678608667</v>
      </c>
      <c r="CB57" s="9">
        <f t="shared" si="55"/>
        <v>0.34780106378586689</v>
      </c>
      <c r="CC57" s="9">
        <f t="shared" si="55"/>
        <v>0.35273822424954537</v>
      </c>
      <c r="CD57" s="9">
        <f t="shared" si="55"/>
        <v>0.44309011895727135</v>
      </c>
      <c r="CE57" s="9">
        <f t="shared" si="55"/>
        <v>0.48826912052098581</v>
      </c>
      <c r="CF57" s="9">
        <f t="shared" si="55"/>
        <v>0.43581771114125595</v>
      </c>
      <c r="CG57" s="9">
        <f t="shared" si="55"/>
        <v>0.43921384697004756</v>
      </c>
      <c r="CH57" s="9">
        <f t="shared" si="55"/>
        <v>0.44194702745275893</v>
      </c>
      <c r="CI57" s="9">
        <f t="shared" si="55"/>
        <v>0.4449169583331069</v>
      </c>
      <c r="CJ57" s="9">
        <f t="shared" si="55"/>
        <v>0.44532444070522476</v>
      </c>
      <c r="CK57" s="9">
        <f t="shared" si="55"/>
        <v>0.44718400740728115</v>
      </c>
      <c r="CL57" s="9">
        <f t="shared" si="55"/>
        <v>0.44858468347459524</v>
      </c>
      <c r="CM57" s="9">
        <f t="shared" si="55"/>
        <v>0.44930736132445914</v>
      </c>
      <c r="CN57" s="9">
        <f t="shared" si="55"/>
        <v>0.44974675700630878</v>
      </c>
      <c r="CO57" s="9">
        <f t="shared" si="55"/>
        <v>0.44838343542989301</v>
      </c>
      <c r="CP57" s="9">
        <f t="shared" si="55"/>
        <v>0.44842865142178495</v>
      </c>
      <c r="CQ57" s="9">
        <f t="shared" si="55"/>
        <v>0.44819070212887674</v>
      </c>
      <c r="CR57" s="9">
        <f t="shared" si="55"/>
        <v>0.44824826497778553</v>
      </c>
      <c r="CS57" s="9">
        <f t="shared" si="55"/>
        <v>0.44801084184796697</v>
      </c>
      <c r="CT57" s="9">
        <f t="shared" si="55"/>
        <v>0.44782351612359095</v>
      </c>
      <c r="CU57" s="9">
        <f t="shared" si="55"/>
        <v>0.44447671227037916</v>
      </c>
      <c r="CV57" s="9">
        <f t="shared" si="55"/>
        <v>0.44126717181323871</v>
      </c>
      <c r="CW57" s="9">
        <f t="shared" si="55"/>
        <v>0.43999734470847368</v>
      </c>
      <c r="CX57" s="9">
        <f t="shared" si="55"/>
        <v>0.43964178647667018</v>
      </c>
      <c r="CY57" s="9">
        <f t="shared" si="55"/>
        <v>0.43500399771024556</v>
      </c>
      <c r="CZ57" s="9">
        <f t="shared" si="55"/>
        <v>0.43146337816382901</v>
      </c>
      <c r="DA57" s="9">
        <f t="shared" si="55"/>
        <v>0.42975118115274319</v>
      </c>
      <c r="DB57" s="9">
        <f t="shared" si="55"/>
        <v>0.42670375877381983</v>
      </c>
      <c r="DC57" s="9">
        <f t="shared" si="55"/>
        <v>0.42261839345498609</v>
      </c>
      <c r="DD57" s="9">
        <f t="shared" si="55"/>
        <v>0.41810198585988995</v>
      </c>
      <c r="DE57" s="9">
        <f t="shared" si="55"/>
        <v>0.41675116945524487</v>
      </c>
      <c r="DF57" s="9">
        <f t="shared" si="55"/>
        <v>0.41275435475054328</v>
      </c>
      <c r="DG57" s="9">
        <f t="shared" si="55"/>
        <v>0.40267747335957971</v>
      </c>
      <c r="DH57" s="9">
        <f t="shared" si="55"/>
        <v>0.40159924895958438</v>
      </c>
      <c r="DI57" s="9">
        <f t="shared" si="55"/>
        <v>0.39673415639599685</v>
      </c>
      <c r="DJ57" s="9">
        <f t="shared" si="55"/>
        <v>0.38583096795792088</v>
      </c>
    </row>
    <row r="58" spans="1:114" x14ac:dyDescent="0.3">
      <c r="A58" t="s">
        <v>764</v>
      </c>
      <c r="B58" t="s">
        <v>686</v>
      </c>
      <c r="C58" t="s">
        <v>22</v>
      </c>
      <c r="D58">
        <v>1.6997072700000001E-2</v>
      </c>
      <c r="E58">
        <v>1.6789534799999999E-2</v>
      </c>
      <c r="F58">
        <v>1.6415748160014201E-2</v>
      </c>
      <c r="G58">
        <v>1.6050723877983199E-2</v>
      </c>
      <c r="H58">
        <v>1.5634331772947999E-2</v>
      </c>
      <c r="I58">
        <v>1.5300191426475099E-2</v>
      </c>
      <c r="J58">
        <v>1.49143074938643E-2</v>
      </c>
      <c r="K58">
        <v>1.4597436136620401E-2</v>
      </c>
      <c r="L58">
        <v>1.4323737594843599E-2</v>
      </c>
      <c r="M58">
        <v>1.40855282114922E-2</v>
      </c>
      <c r="N58">
        <v>1.3801246255147901E-2</v>
      </c>
      <c r="O58">
        <v>1.35421574085842E-2</v>
      </c>
      <c r="P58">
        <v>1.33261130960652E-2</v>
      </c>
      <c r="Q58">
        <v>1.3138393757535199E-2</v>
      </c>
      <c r="R58">
        <v>1.3001617950020999E-2</v>
      </c>
      <c r="S58">
        <v>1.2856922671901701E-2</v>
      </c>
      <c r="T58">
        <v>1.26988252467835E-2</v>
      </c>
      <c r="U58">
        <v>1.2499616636162499E-2</v>
      </c>
      <c r="V58">
        <v>1.2344048338424601E-2</v>
      </c>
      <c r="W58">
        <v>1.21802474839689E-2</v>
      </c>
      <c r="X58">
        <v>1.2040225808490001E-2</v>
      </c>
      <c r="Y58">
        <v>1.1909890676133E-2</v>
      </c>
      <c r="Z58">
        <v>1.1758127164559999E-2</v>
      </c>
      <c r="AA58">
        <v>1.1622495586427599E-2</v>
      </c>
      <c r="AB58">
        <v>1.14971240960674E-2</v>
      </c>
      <c r="AC58">
        <v>1.13824876159342E-2</v>
      </c>
      <c r="AD58">
        <v>1.12537249056208E-2</v>
      </c>
      <c r="AE58">
        <v>1.1132426140688E-2</v>
      </c>
      <c r="AF58">
        <v>1.1014817974925799E-2</v>
      </c>
      <c r="AG58">
        <v>1.09019191828316E-2</v>
      </c>
      <c r="AH58">
        <v>1.07889471269321E-2</v>
      </c>
      <c r="AI58">
        <v>1.0681308640024201E-2</v>
      </c>
      <c r="AJ58">
        <v>1.0578809997944E-2</v>
      </c>
      <c r="AK58">
        <v>1.0471071103501499E-2</v>
      </c>
      <c r="AL58">
        <v>1.0379238381050201E-2</v>
      </c>
      <c r="AM58">
        <v>1.0280477713879599E-2</v>
      </c>
      <c r="AO58" t="str">
        <f t="shared" si="31"/>
        <v>Baseline uncompeted_ENERGY STAR Electric HPWH (Com.)</v>
      </c>
      <c r="AP58" s="111"/>
      <c r="AQ58" s="111"/>
      <c r="AR58" s="111"/>
      <c r="AS58" s="111"/>
      <c r="AT58" s="111"/>
      <c r="AU58" s="209"/>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row>
    <row r="59" spans="1:114" x14ac:dyDescent="0.3">
      <c r="A59" t="s">
        <v>764</v>
      </c>
      <c r="B59" t="s">
        <v>685</v>
      </c>
      <c r="C59" t="s">
        <v>22</v>
      </c>
      <c r="D59">
        <v>1.6997072700000001E-2</v>
      </c>
      <c r="E59">
        <v>1.6789534799999999E-2</v>
      </c>
      <c r="F59">
        <v>6.9294257823312097E-3</v>
      </c>
      <c r="G59">
        <v>6.9766967267137301E-3</v>
      </c>
      <c r="H59">
        <v>6.9830093568220199E-3</v>
      </c>
      <c r="I59">
        <v>7.0010338830642999E-3</v>
      </c>
      <c r="J59">
        <v>6.9778272933004098E-3</v>
      </c>
      <c r="K59">
        <v>6.93461507405836E-3</v>
      </c>
      <c r="L59">
        <v>6.8813485874640703E-3</v>
      </c>
      <c r="M59">
        <v>6.8490856856022204E-3</v>
      </c>
      <c r="N59">
        <v>6.7854054949308103E-3</v>
      </c>
      <c r="O59">
        <v>6.7349053870560003E-3</v>
      </c>
      <c r="P59">
        <v>6.6886097858722604E-3</v>
      </c>
      <c r="Q59">
        <v>6.6657920623945403E-3</v>
      </c>
      <c r="R59">
        <v>6.6592414021282203E-3</v>
      </c>
      <c r="S59">
        <v>6.6474907949836204E-3</v>
      </c>
      <c r="T59">
        <v>6.6247870295946601E-3</v>
      </c>
      <c r="U59">
        <v>6.5738230805968897E-3</v>
      </c>
      <c r="V59">
        <v>6.5473602317826099E-3</v>
      </c>
      <c r="W59">
        <v>6.5102259270261101E-3</v>
      </c>
      <c r="X59">
        <v>6.4896312695493698E-3</v>
      </c>
      <c r="Y59">
        <v>6.4760320164954296E-3</v>
      </c>
      <c r="Z59">
        <v>6.4485627245607999E-3</v>
      </c>
      <c r="AA59">
        <v>6.4234288356626998E-3</v>
      </c>
      <c r="AB59">
        <v>6.4079363170090296E-3</v>
      </c>
      <c r="AC59">
        <v>6.3918038995130601E-3</v>
      </c>
      <c r="AD59">
        <v>6.3681876682276702E-3</v>
      </c>
      <c r="AE59">
        <v>6.3389627417608802E-3</v>
      </c>
      <c r="AF59">
        <v>6.3148065384748299E-3</v>
      </c>
      <c r="AG59">
        <v>6.2927301010906201E-3</v>
      </c>
      <c r="AH59">
        <v>6.2680031011732897E-3</v>
      </c>
      <c r="AI59">
        <v>6.2431259625124304E-3</v>
      </c>
      <c r="AJ59">
        <v>6.2195471789151698E-3</v>
      </c>
      <c r="AK59">
        <v>6.1912924960570298E-3</v>
      </c>
      <c r="AL59">
        <v>6.1723838190766104E-3</v>
      </c>
      <c r="AM59">
        <v>6.1484691220675602E-3</v>
      </c>
      <c r="AO59" t="str">
        <f t="shared" si="31"/>
        <v>Efficient uncompeted_ENERGY STAR Electric HPWH (Com.)</v>
      </c>
      <c r="AP59" s="111">
        <f t="shared" ref="AP59:BY59" si="56">(D58-D59)*293071083333.33</f>
        <v>0</v>
      </c>
      <c r="AQ59" s="111">
        <f t="shared" si="56"/>
        <v>0</v>
      </c>
      <c r="AR59" s="111">
        <f t="shared" si="56"/>
        <v>2780166776.0767651</v>
      </c>
      <c r="AS59" s="111">
        <f t="shared" si="56"/>
        <v>2659334967.4185939</v>
      </c>
      <c r="AT59" s="111">
        <f t="shared" si="56"/>
        <v>2535452432.7599626</v>
      </c>
      <c r="AU59" s="209">
        <f t="shared" si="56"/>
        <v>2432243092.0013809</v>
      </c>
      <c r="AV59" s="111">
        <f t="shared" si="56"/>
        <v>2325952850.2327838</v>
      </c>
      <c r="AW59" s="111">
        <f t="shared" si="56"/>
        <v>2245751270.1945162</v>
      </c>
      <c r="AX59" s="111">
        <f t="shared" si="56"/>
        <v>2181149008.9807854</v>
      </c>
      <c r="AY59" s="111">
        <f t="shared" si="56"/>
        <v>2120792050.5419555</v>
      </c>
      <c r="AZ59" s="111">
        <f t="shared" si="56"/>
        <v>2056140052.0909562</v>
      </c>
      <c r="BA59" s="111">
        <f t="shared" si="56"/>
        <v>1995008724.4722703</v>
      </c>
      <c r="BB59" s="111">
        <f t="shared" si="56"/>
        <v>1945260285.7468088</v>
      </c>
      <c r="BC59" s="111">
        <f t="shared" si="56"/>
        <v>1896932390.7800212</v>
      </c>
      <c r="BD59" s="111">
        <f t="shared" si="56"/>
        <v>1858767165.7988427</v>
      </c>
      <c r="BE59" s="111">
        <f t="shared" si="56"/>
        <v>1819804927.0528946</v>
      </c>
      <c r="BF59" s="111">
        <f t="shared" si="56"/>
        <v>1780124960.5195818</v>
      </c>
      <c r="BG59" s="111">
        <f t="shared" si="56"/>
        <v>1736678736.9392788</v>
      </c>
      <c r="BH59" s="111">
        <f t="shared" si="56"/>
        <v>1698841663.1589978</v>
      </c>
      <c r="BI59" s="111">
        <f t="shared" si="56"/>
        <v>1661719360.216558</v>
      </c>
      <c r="BJ59" s="111">
        <f t="shared" si="56"/>
        <v>1626718754.671396</v>
      </c>
      <c r="BK59" s="111">
        <f t="shared" si="56"/>
        <v>1592506844.0601792</v>
      </c>
      <c r="BL59" s="111">
        <f t="shared" si="56"/>
        <v>1556079802.4586911</v>
      </c>
      <c r="BM59" s="111">
        <f t="shared" si="56"/>
        <v>1523696124.9689653</v>
      </c>
      <c r="BN59" s="111">
        <f t="shared" si="56"/>
        <v>1491493775.6953802</v>
      </c>
      <c r="BO59" s="111">
        <f t="shared" si="56"/>
        <v>1462625083.3455529</v>
      </c>
      <c r="BP59" s="111">
        <f t="shared" si="56"/>
        <v>1431809690.8281288</v>
      </c>
      <c r="BQ59" s="111">
        <f t="shared" si="56"/>
        <v>1404825511.2422373</v>
      </c>
      <c r="BR59" s="111">
        <f t="shared" si="56"/>
        <v>1377437443.3597262</v>
      </c>
      <c r="BS59" s="111">
        <f t="shared" si="56"/>
        <v>1350820037.4739857</v>
      </c>
      <c r="BT59" s="111">
        <f t="shared" si="56"/>
        <v>1324957963.318481</v>
      </c>
      <c r="BU59" s="111">
        <f t="shared" si="56"/>
        <v>1300703005.3295939</v>
      </c>
      <c r="BV59" s="111">
        <f t="shared" si="56"/>
        <v>1277573876.9074855</v>
      </c>
      <c r="BW59" s="111">
        <f t="shared" si="56"/>
        <v>1254279352.9105611</v>
      </c>
      <c r="BX59" s="111">
        <f t="shared" si="56"/>
        <v>1232907423.9033616</v>
      </c>
      <c r="BY59" s="111">
        <f t="shared" si="56"/>
        <v>1210972234.3449817</v>
      </c>
      <c r="CA59" s="9">
        <f t="shared" ref="CA59:DJ59" si="57">(D58-D59)/D58</f>
        <v>0</v>
      </c>
      <c r="CB59" s="9">
        <f t="shared" si="57"/>
        <v>0</v>
      </c>
      <c r="CC59" s="9">
        <f t="shared" si="57"/>
        <v>0.57787938053228427</v>
      </c>
      <c r="CD59" s="9">
        <f t="shared" si="57"/>
        <v>0.5653344497263656</v>
      </c>
      <c r="CE59" s="9">
        <f t="shared" si="57"/>
        <v>0.55335415301185531</v>
      </c>
      <c r="CF59" s="9">
        <f t="shared" si="57"/>
        <v>0.54242181107944365</v>
      </c>
      <c r="CG59" s="9">
        <f t="shared" si="57"/>
        <v>0.53213869995834095</v>
      </c>
      <c r="CH59" s="9">
        <f t="shared" si="57"/>
        <v>0.52494294140725306</v>
      </c>
      <c r="CI59" s="9">
        <f t="shared" si="57"/>
        <v>0.5195842885350479</v>
      </c>
      <c r="CJ59" s="9">
        <f t="shared" si="57"/>
        <v>0.51375017090135533</v>
      </c>
      <c r="CK59" s="9">
        <f t="shared" si="57"/>
        <v>0.5083483498890663</v>
      </c>
      <c r="CL59" s="9">
        <f t="shared" si="57"/>
        <v>0.50267116354837005</v>
      </c>
      <c r="CM59" s="9">
        <f t="shared" si="57"/>
        <v>0.49808246878474971</v>
      </c>
      <c r="CN59" s="9">
        <f t="shared" si="57"/>
        <v>0.49264786963995955</v>
      </c>
      <c r="CO59" s="9">
        <f t="shared" si="57"/>
        <v>0.48781440681254101</v>
      </c>
      <c r="CP59" s="9">
        <f t="shared" si="57"/>
        <v>0.48296408365965748</v>
      </c>
      <c r="CQ59" s="9">
        <f t="shared" si="57"/>
        <v>0.47831497001876927</v>
      </c>
      <c r="CR59" s="9">
        <f t="shared" si="57"/>
        <v>0.47407802399489302</v>
      </c>
      <c r="CS59" s="9">
        <f t="shared" si="57"/>
        <v>0.46959376273649528</v>
      </c>
      <c r="CT59" s="9">
        <f t="shared" si="57"/>
        <v>0.46550955261011073</v>
      </c>
      <c r="CU59" s="9">
        <f t="shared" si="57"/>
        <v>0.46100418939208804</v>
      </c>
      <c r="CV59" s="9">
        <f t="shared" si="57"/>
        <v>0.45624756829437829</v>
      </c>
      <c r="CW59" s="9">
        <f t="shared" si="57"/>
        <v>0.45156548876275815</v>
      </c>
      <c r="CX59" s="9">
        <f t="shared" si="57"/>
        <v>0.44732791783859338</v>
      </c>
      <c r="CY59" s="9">
        <f t="shared" si="57"/>
        <v>0.44264876472883602</v>
      </c>
      <c r="CZ59" s="9">
        <f t="shared" si="57"/>
        <v>0.43845281320005525</v>
      </c>
      <c r="DA59" s="9">
        <f t="shared" si="57"/>
        <v>0.43412623627870922</v>
      </c>
      <c r="DB59" s="9">
        <f t="shared" si="57"/>
        <v>0.43058569069750657</v>
      </c>
      <c r="DC59" s="9">
        <f t="shared" si="57"/>
        <v>0.42669896562522458</v>
      </c>
      <c r="DD59" s="9">
        <f t="shared" si="57"/>
        <v>0.42278694277972223</v>
      </c>
      <c r="DE59" s="9">
        <f t="shared" si="57"/>
        <v>0.41903477443812143</v>
      </c>
      <c r="DF59" s="9">
        <f t="shared" si="57"/>
        <v>0.41550926268353899</v>
      </c>
      <c r="DG59" s="9">
        <f t="shared" si="57"/>
        <v>0.41207497061352422</v>
      </c>
      <c r="DH59" s="9">
        <f t="shared" si="57"/>
        <v>0.40872405173653364</v>
      </c>
      <c r="DI59" s="9">
        <f t="shared" si="57"/>
        <v>0.40531437929532638</v>
      </c>
      <c r="DJ59" s="9">
        <f t="shared" si="57"/>
        <v>0.40192768340263446</v>
      </c>
    </row>
    <row r="60" spans="1:114" x14ac:dyDescent="0.3">
      <c r="A60" t="s">
        <v>757</v>
      </c>
      <c r="B60" t="s">
        <v>686</v>
      </c>
      <c r="C60" t="s">
        <v>22</v>
      </c>
      <c r="D60">
        <v>8.1755339499999996E-2</v>
      </c>
      <c r="E60">
        <v>8.4071122799999995E-2</v>
      </c>
      <c r="F60">
        <v>8.5088139500000007E-2</v>
      </c>
      <c r="G60">
        <v>8.6336642500000005E-2</v>
      </c>
      <c r="H60">
        <v>8.7456534200000005E-2</v>
      </c>
      <c r="I60">
        <v>8.8342426099999996E-2</v>
      </c>
      <c r="J60">
        <v>8.8953977700000006E-2</v>
      </c>
      <c r="K60">
        <v>8.9432380300000003E-2</v>
      </c>
      <c r="L60">
        <v>8.9738845600000006E-2</v>
      </c>
      <c r="M60">
        <v>8.9912776599999994E-2</v>
      </c>
      <c r="N60">
        <v>9.0131241900000006E-2</v>
      </c>
      <c r="O60">
        <v>9.0598574000000001E-2</v>
      </c>
      <c r="P60">
        <v>9.1301864100000005E-2</v>
      </c>
      <c r="Q60">
        <v>9.2097228000000003E-2</v>
      </c>
      <c r="R60">
        <v>9.2921589200000002E-2</v>
      </c>
      <c r="S60">
        <v>9.3782125999999993E-2</v>
      </c>
      <c r="T60">
        <v>9.4715410099999994E-2</v>
      </c>
      <c r="U60">
        <v>9.5574083399999996E-2</v>
      </c>
      <c r="V60">
        <v>9.6380603999999995E-2</v>
      </c>
      <c r="W60">
        <v>9.7207407300000007E-2</v>
      </c>
      <c r="X60">
        <v>9.8053280000000007E-2</v>
      </c>
      <c r="Y60">
        <v>9.8876612500000002E-2</v>
      </c>
      <c r="Z60">
        <v>9.9684386900000005E-2</v>
      </c>
      <c r="AA60">
        <v>0.1005448406</v>
      </c>
      <c r="AB60">
        <v>0.1014310075</v>
      </c>
      <c r="AC60">
        <v>0.1023005698</v>
      </c>
      <c r="AD60">
        <v>0.103193479</v>
      </c>
      <c r="AE60">
        <v>0.10407107779999999</v>
      </c>
      <c r="AF60">
        <v>0.10490496370000001</v>
      </c>
      <c r="AG60">
        <v>0.1057201131</v>
      </c>
      <c r="AH60">
        <v>0.1065230264</v>
      </c>
      <c r="AI60">
        <v>0.1073353289</v>
      </c>
      <c r="AJ60">
        <v>0.1081527009</v>
      </c>
      <c r="AK60">
        <v>0.108931631</v>
      </c>
      <c r="AL60">
        <v>0.1096463543</v>
      </c>
      <c r="AM60">
        <v>0.11037302340000001</v>
      </c>
      <c r="AO60" t="str">
        <f t="shared" si="31"/>
        <v>Baseline uncompeted_ENERGY STAR HPWH (Com.) (FS)</v>
      </c>
      <c r="AP60" s="111"/>
      <c r="AQ60" s="111"/>
      <c r="AR60" s="111"/>
      <c r="AS60" s="111"/>
      <c r="AT60" s="111"/>
      <c r="AU60" s="209"/>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row>
    <row r="61" spans="1:114" x14ac:dyDescent="0.3">
      <c r="A61" t="s">
        <v>757</v>
      </c>
      <c r="B61" t="s">
        <v>685</v>
      </c>
      <c r="C61" t="s">
        <v>22</v>
      </c>
      <c r="D61">
        <v>8.1755339499999996E-2</v>
      </c>
      <c r="E61">
        <v>8.4071122799999995E-2</v>
      </c>
      <c r="F61">
        <v>7.2476289101113298E-2</v>
      </c>
      <c r="G61">
        <v>7.3016646297400206E-2</v>
      </c>
      <c r="H61">
        <v>7.3569277170279196E-2</v>
      </c>
      <c r="I61">
        <v>7.3852724091454602E-2</v>
      </c>
      <c r="J61">
        <v>7.3531432064532595E-2</v>
      </c>
      <c r="K61">
        <v>7.3219436936207902E-2</v>
      </c>
      <c r="L61">
        <v>7.2938136642481999E-2</v>
      </c>
      <c r="M61">
        <v>7.2915155690233102E-2</v>
      </c>
      <c r="N61">
        <v>7.2742185218511293E-2</v>
      </c>
      <c r="O61">
        <v>7.2840843110599504E-2</v>
      </c>
      <c r="P61">
        <v>7.3215463045784093E-2</v>
      </c>
      <c r="Q61">
        <v>7.3721992072098494E-2</v>
      </c>
      <c r="R61">
        <v>7.4448040195072604E-2</v>
      </c>
      <c r="S61">
        <v>7.5122475293443194E-2</v>
      </c>
      <c r="T61">
        <v>7.5774125169805098E-2</v>
      </c>
      <c r="U61">
        <v>7.6108709621108397E-2</v>
      </c>
      <c r="V61">
        <v>7.6650402849967103E-2</v>
      </c>
      <c r="W61">
        <v>7.7128355259880793E-2</v>
      </c>
      <c r="X61">
        <v>7.7750867305303797E-2</v>
      </c>
      <c r="Y61">
        <v>7.8423445152272397E-2</v>
      </c>
      <c r="Z61">
        <v>7.8968860969776594E-2</v>
      </c>
      <c r="AA61">
        <v>7.9588540369129296E-2</v>
      </c>
      <c r="AB61">
        <v>8.0261308247838198E-2</v>
      </c>
      <c r="AC61">
        <v>8.0886247469939901E-2</v>
      </c>
      <c r="AD61">
        <v>8.1492754069848405E-2</v>
      </c>
      <c r="AE61">
        <v>8.2060901097297106E-2</v>
      </c>
      <c r="AF61">
        <v>8.2608285770042894E-2</v>
      </c>
      <c r="AG61">
        <v>8.3143102388960402E-2</v>
      </c>
      <c r="AH61">
        <v>8.3663758603291796E-2</v>
      </c>
      <c r="AI61">
        <v>8.4208709625727601E-2</v>
      </c>
      <c r="AJ61">
        <v>8.4821014997405297E-2</v>
      </c>
      <c r="AK61">
        <v>8.5354471082688302E-2</v>
      </c>
      <c r="AL61">
        <v>8.5870645321247593E-2</v>
      </c>
      <c r="AM61">
        <v>8.6348351767597004E-2</v>
      </c>
      <c r="AO61" t="str">
        <f t="shared" si="31"/>
        <v>Efficient uncompeted_ENERGY STAR HPWH (Com.) (FS)</v>
      </c>
      <c r="AP61" s="111">
        <f t="shared" ref="AP61:BY61" si="58">(D60-D61)*293071083333.33</f>
        <v>0</v>
      </c>
      <c r="AQ61" s="111">
        <f t="shared" si="58"/>
        <v>0</v>
      </c>
      <c r="AR61" s="111">
        <f t="shared" si="58"/>
        <v>3696168659.2396183</v>
      </c>
      <c r="AS61" s="111">
        <f t="shared" si="58"/>
        <v>3903705717.0917649</v>
      </c>
      <c r="AT61" s="111">
        <f t="shared" si="58"/>
        <v>4069953462.2286801</v>
      </c>
      <c r="AU61" s="209">
        <f t="shared" si="58"/>
        <v>4246512664.8215265</v>
      </c>
      <c r="AV61" s="111">
        <f t="shared" si="58"/>
        <v>4519902157.1441545</v>
      </c>
      <c r="AW61" s="111">
        <f t="shared" si="58"/>
        <v>4751544875.6484747</v>
      </c>
      <c r="AX61" s="111">
        <f t="shared" si="58"/>
        <v>4923801974.9477835</v>
      </c>
      <c r="AY61" s="111">
        <f t="shared" si="58"/>
        <v>4981511174.114646</v>
      </c>
      <c r="AZ61" s="111">
        <f t="shared" si="58"/>
        <v>5096229679.788578</v>
      </c>
      <c r="BA61" s="111">
        <f t="shared" si="58"/>
        <v>5204277429.2983418</v>
      </c>
      <c r="BB61" s="111">
        <f t="shared" si="58"/>
        <v>5300601150.5601397</v>
      </c>
      <c r="BC61" s="111">
        <f t="shared" si="58"/>
        <v>5385250299.8956232</v>
      </c>
      <c r="BD61" s="111">
        <f t="shared" si="58"/>
        <v>5414063019.8854332</v>
      </c>
      <c r="BE61" s="111">
        <f t="shared" si="58"/>
        <v>5468604047.1921377</v>
      </c>
      <c r="BF61" s="111">
        <f t="shared" si="58"/>
        <v>5551142894.2174969</v>
      </c>
      <c r="BG61" s="111">
        <f t="shared" si="58"/>
        <v>5704738180.8679562</v>
      </c>
      <c r="BH61" s="111">
        <f t="shared" si="58"/>
        <v>5782351425.4246531</v>
      </c>
      <c r="BI61" s="111">
        <f t="shared" si="58"/>
        <v>5884589533.7040482</v>
      </c>
      <c r="BJ61" s="111">
        <f t="shared" si="58"/>
        <v>5950050082.7149696</v>
      </c>
      <c r="BK61" s="111">
        <f t="shared" si="58"/>
        <v>5994231912.1964216</v>
      </c>
      <c r="BL61" s="111">
        <f t="shared" si="58"/>
        <v>6071121626.1902637</v>
      </c>
      <c r="BM61" s="111">
        <f t="shared" si="58"/>
        <v>6141685611.3197927</v>
      </c>
      <c r="BN61" s="111">
        <f t="shared" si="58"/>
        <v>6204226693.6718464</v>
      </c>
      <c r="BO61" s="111">
        <f t="shared" si="58"/>
        <v>6275918644.1198349</v>
      </c>
      <c r="BP61" s="111">
        <f t="shared" si="58"/>
        <v>6359854964.3981314</v>
      </c>
      <c r="BQ61" s="111">
        <f t="shared" si="58"/>
        <v>6450546330.6191568</v>
      </c>
      <c r="BR61" s="111">
        <f t="shared" si="58"/>
        <v>6534511555.6668806</v>
      </c>
      <c r="BS61" s="111">
        <f t="shared" si="58"/>
        <v>6616668987.5125704</v>
      </c>
      <c r="BT61" s="111">
        <f t="shared" si="58"/>
        <v>6699390377.3879766</v>
      </c>
      <c r="BU61" s="111">
        <f t="shared" si="58"/>
        <v>6777743364.5484819</v>
      </c>
      <c r="BV61" s="111">
        <f t="shared" si="58"/>
        <v>6837842463.4664116</v>
      </c>
      <c r="BW61" s="111">
        <f t="shared" si="58"/>
        <v>6909783798.8897057</v>
      </c>
      <c r="BX61" s="111">
        <f t="shared" si="58"/>
        <v>6967972787.420949</v>
      </c>
      <c r="BY61" s="111">
        <f t="shared" si="58"/>
        <v>7040936542.0358696</v>
      </c>
      <c r="CA61" s="9">
        <f t="shared" ref="CA61:DJ61" si="59">(D60-D61)/D60</f>
        <v>0</v>
      </c>
      <c r="CB61" s="9">
        <f t="shared" si="59"/>
        <v>0</v>
      </c>
      <c r="CC61" s="9">
        <f t="shared" si="59"/>
        <v>0.14822101497338191</v>
      </c>
      <c r="CD61" s="9">
        <f t="shared" si="59"/>
        <v>0.1542797567394377</v>
      </c>
      <c r="CE61" s="9">
        <f t="shared" si="59"/>
        <v>0.15879038835409062</v>
      </c>
      <c r="CF61" s="9">
        <f t="shared" si="59"/>
        <v>0.16401747889676074</v>
      </c>
      <c r="CG61" s="9">
        <f t="shared" si="59"/>
        <v>0.17337668347423896</v>
      </c>
      <c r="CH61" s="9">
        <f t="shared" si="59"/>
        <v>0.18128717260354638</v>
      </c>
      <c r="CI61" s="9">
        <f t="shared" si="59"/>
        <v>0.18721779676557379</v>
      </c>
      <c r="CJ61" s="9">
        <f t="shared" si="59"/>
        <v>0.18904566795201042</v>
      </c>
      <c r="CK61" s="9">
        <f t="shared" si="59"/>
        <v>0.19293040143374204</v>
      </c>
      <c r="CL61" s="9">
        <f t="shared" si="59"/>
        <v>0.19600452971147755</v>
      </c>
      <c r="CM61" s="9">
        <f t="shared" si="59"/>
        <v>0.19809454311257496</v>
      </c>
      <c r="CN61" s="9">
        <f t="shared" si="59"/>
        <v>0.19951996739686353</v>
      </c>
      <c r="CO61" s="9">
        <f t="shared" si="59"/>
        <v>0.19880793219287082</v>
      </c>
      <c r="CP61" s="9">
        <f t="shared" si="59"/>
        <v>0.19896809234796831</v>
      </c>
      <c r="CQ61" s="9">
        <f t="shared" si="59"/>
        <v>0.19998102642639454</v>
      </c>
      <c r="CR61" s="9">
        <f t="shared" si="59"/>
        <v>0.20366790960918177</v>
      </c>
      <c r="CS61" s="9">
        <f t="shared" si="59"/>
        <v>0.20471132500926112</v>
      </c>
      <c r="CT61" s="9">
        <f t="shared" si="59"/>
        <v>0.20655886827792405</v>
      </c>
      <c r="CU61" s="9">
        <f t="shared" si="59"/>
        <v>0.20705490621727501</v>
      </c>
      <c r="CV61" s="9">
        <f t="shared" si="59"/>
        <v>0.20685546187909304</v>
      </c>
      <c r="CW61" s="9">
        <f t="shared" si="59"/>
        <v>0.20781113847853147</v>
      </c>
      <c r="CX61" s="9">
        <f t="shared" si="59"/>
        <v>0.20842740518373956</v>
      </c>
      <c r="CY61" s="9">
        <f t="shared" si="59"/>
        <v>0.20871033201717734</v>
      </c>
      <c r="CZ61" s="9">
        <f t="shared" si="59"/>
        <v>0.20932749809630194</v>
      </c>
      <c r="DA61" s="9">
        <f t="shared" si="59"/>
        <v>0.21029163025070216</v>
      </c>
      <c r="DB61" s="9">
        <f t="shared" si="59"/>
        <v>0.21149177243077316</v>
      </c>
      <c r="DC61" s="9">
        <f t="shared" si="59"/>
        <v>0.21254168671865345</v>
      </c>
      <c r="DD61" s="9">
        <f t="shared" si="59"/>
        <v>0.21355454557340608</v>
      </c>
      <c r="DE61" s="9">
        <f t="shared" si="59"/>
        <v>0.21459461460351639</v>
      </c>
      <c r="DF61" s="9">
        <f t="shared" si="59"/>
        <v>0.21546139105623402</v>
      </c>
      <c r="DG61" s="9">
        <f t="shared" si="59"/>
        <v>0.21572910993843428</v>
      </c>
      <c r="DH61" s="9">
        <f t="shared" si="59"/>
        <v>0.21643997891954542</v>
      </c>
      <c r="DI61" s="9">
        <f t="shared" si="59"/>
        <v>0.21683994083105054</v>
      </c>
      <c r="DJ61" s="9">
        <f t="shared" si="59"/>
        <v>0.21766796715657424</v>
      </c>
    </row>
    <row r="62" spans="1:114" x14ac:dyDescent="0.3">
      <c r="A62" t="s">
        <v>750</v>
      </c>
      <c r="B62" t="s">
        <v>686</v>
      </c>
      <c r="C62" t="s">
        <v>696</v>
      </c>
      <c r="D62">
        <v>3.1669693617076999E-2</v>
      </c>
      <c r="E62">
        <v>3.4015696536476098E-2</v>
      </c>
      <c r="F62">
        <v>3.3456238819222599E-2</v>
      </c>
      <c r="G62">
        <v>3.6226973781564101E-2</v>
      </c>
      <c r="H62">
        <v>3.3404067623626202E-2</v>
      </c>
      <c r="I62">
        <v>3.4081845421319701E-2</v>
      </c>
      <c r="J62">
        <v>3.3635169862073599E-2</v>
      </c>
      <c r="K62">
        <v>3.3196007346742398E-2</v>
      </c>
      <c r="L62">
        <v>3.2652821025963598E-2</v>
      </c>
      <c r="M62">
        <v>3.2182684288519198E-2</v>
      </c>
      <c r="N62">
        <v>3.1605543767512199E-2</v>
      </c>
      <c r="O62">
        <v>3.1096779250371499E-2</v>
      </c>
      <c r="P62">
        <v>3.0680878083518E-2</v>
      </c>
      <c r="Q62">
        <v>3.0338048810597599E-2</v>
      </c>
      <c r="R62">
        <v>3.0116159202241002E-2</v>
      </c>
      <c r="S62">
        <v>2.98925854532523E-2</v>
      </c>
      <c r="T62">
        <v>2.9657971768477401E-2</v>
      </c>
      <c r="U62">
        <v>2.9319208423203302E-2</v>
      </c>
      <c r="V62">
        <v>2.9113281122357199E-2</v>
      </c>
      <c r="W62">
        <v>2.8892100265992801E-2</v>
      </c>
      <c r="X62">
        <v>2.8739435034200098E-2</v>
      </c>
      <c r="Y62">
        <v>2.8608374093379199E-2</v>
      </c>
      <c r="Z62">
        <v>2.84312989183493E-2</v>
      </c>
      <c r="AA62">
        <v>2.8270860520408302E-2</v>
      </c>
      <c r="AB62">
        <v>2.8141680825128499E-2</v>
      </c>
      <c r="AC62">
        <v>2.8043880718524102E-2</v>
      </c>
      <c r="AD62">
        <v>2.7912675017842999E-2</v>
      </c>
      <c r="AE62">
        <v>2.7805408812410299E-2</v>
      </c>
      <c r="AF62">
        <v>2.77158065290968E-2</v>
      </c>
      <c r="AG62">
        <v>2.7625478646880201E-2</v>
      </c>
      <c r="AH62">
        <v>2.75449046733202E-2</v>
      </c>
      <c r="AI62">
        <v>2.7473194607575201E-2</v>
      </c>
      <c r="AJ62">
        <v>2.7417200052972001E-2</v>
      </c>
      <c r="AK62">
        <v>2.7341737834853101E-2</v>
      </c>
      <c r="AL62">
        <v>2.7295845000315001E-2</v>
      </c>
      <c r="AM62">
        <v>2.7257941178943298E-2</v>
      </c>
      <c r="AO62" t="str">
        <f t="shared" si="31"/>
        <v>Baseline uncompeted_ENERGY STAR Rooftop HP v. 2.2</v>
      </c>
      <c r="AP62" s="111"/>
      <c r="AQ62" s="111"/>
      <c r="AR62" s="111"/>
      <c r="AS62" s="111"/>
      <c r="AT62" s="111"/>
      <c r="AU62" s="209"/>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row>
    <row r="63" spans="1:114" x14ac:dyDescent="0.3">
      <c r="A63" t="s">
        <v>750</v>
      </c>
      <c r="B63" t="s">
        <v>685</v>
      </c>
      <c r="C63" t="s">
        <v>696</v>
      </c>
      <c r="D63">
        <v>2.9913990166449699E-2</v>
      </c>
      <c r="E63">
        <v>3.1999271653246703E-2</v>
      </c>
      <c r="F63">
        <v>3.1450246622728099E-2</v>
      </c>
      <c r="G63">
        <v>3.4270486555260597E-2</v>
      </c>
      <c r="H63">
        <v>3.1667314864559502E-2</v>
      </c>
      <c r="I63">
        <v>3.2220624300507303E-2</v>
      </c>
      <c r="J63">
        <v>3.1802518306149503E-2</v>
      </c>
      <c r="K63">
        <v>3.1393394019141298E-2</v>
      </c>
      <c r="L63">
        <v>3.0892960684990901E-2</v>
      </c>
      <c r="M63">
        <v>3.0464601538840501E-2</v>
      </c>
      <c r="N63">
        <v>2.9937437928744301E-2</v>
      </c>
      <c r="O63">
        <v>2.94757667897423E-2</v>
      </c>
      <c r="P63">
        <v>2.9103854995197499E-2</v>
      </c>
      <c r="Q63">
        <v>2.88023467232431E-2</v>
      </c>
      <c r="R63">
        <v>2.8616792533559199E-2</v>
      </c>
      <c r="S63">
        <v>2.8429927219913401E-2</v>
      </c>
      <c r="T63">
        <v>2.8233301983738499E-2</v>
      </c>
      <c r="U63">
        <v>2.79385612980797E-2</v>
      </c>
      <c r="V63">
        <v>2.77705022184359E-2</v>
      </c>
      <c r="W63">
        <v>2.7588187745598999E-2</v>
      </c>
      <c r="X63">
        <v>2.7471535986636601E-2</v>
      </c>
      <c r="Y63">
        <v>2.7375873151565099E-2</v>
      </c>
      <c r="Z63">
        <v>2.7236140187083299E-2</v>
      </c>
      <c r="AA63">
        <v>2.71122839848114E-2</v>
      </c>
      <c r="AB63">
        <v>2.7018339571174398E-2</v>
      </c>
      <c r="AC63">
        <v>2.6954316248866302E-2</v>
      </c>
      <c r="AD63">
        <v>2.6857767847438901E-2</v>
      </c>
      <c r="AE63">
        <v>2.6783895580073599E-2</v>
      </c>
      <c r="AF63">
        <v>2.6726623459020899E-2</v>
      </c>
      <c r="AG63">
        <v>2.66683114422623E-2</v>
      </c>
      <c r="AH63">
        <v>2.6619001016301699E-2</v>
      </c>
      <c r="AI63">
        <v>2.6577621484129701E-2</v>
      </c>
      <c r="AJ63">
        <v>2.6550898101594299E-2</v>
      </c>
      <c r="AK63">
        <v>2.6504888994890601E-2</v>
      </c>
      <c r="AL63">
        <v>2.6486922604762399E-2</v>
      </c>
      <c r="AM63">
        <v>2.6476030309268001E-2</v>
      </c>
      <c r="AO63" t="str">
        <f t="shared" si="31"/>
        <v>Efficient uncompeted_ENERGY STAR Rooftop HP v. 2.2</v>
      </c>
      <c r="AP63" s="111">
        <f t="shared" ref="AP63:BY63" si="60">(D62-D63)*293071083333.33</f>
        <v>514545912.28740853</v>
      </c>
      <c r="AQ63" s="111">
        <f t="shared" si="60"/>
        <v>590955824.98832238</v>
      </c>
      <c r="AR63" s="111">
        <f t="shared" si="60"/>
        <v>587898306.18484914</v>
      </c>
      <c r="AS63" s="111">
        <f t="shared" si="60"/>
        <v>573389830.94058979</v>
      </c>
      <c r="AT63" s="111">
        <f t="shared" si="60"/>
        <v>508992012.58182752</v>
      </c>
      <c r="AU63" s="209">
        <f t="shared" si="60"/>
        <v>545470090.19936419</v>
      </c>
      <c r="AV63" s="111">
        <f t="shared" si="60"/>
        <v>537097176.86718762</v>
      </c>
      <c r="AW63" s="111">
        <f t="shared" si="60"/>
        <v>528293840.75115347</v>
      </c>
      <c r="AX63" s="111">
        <f t="shared" si="60"/>
        <v>515764176.64423174</v>
      </c>
      <c r="AY63" s="111">
        <f t="shared" si="60"/>
        <v>503520372.70464212</v>
      </c>
      <c r="AZ63" s="111">
        <f t="shared" si="60"/>
        <v>488873585.28236115</v>
      </c>
      <c r="BA63" s="111">
        <f t="shared" si="60"/>
        <v>475071877.9334265</v>
      </c>
      <c r="BB63" s="111">
        <f t="shared" si="60"/>
        <v>462179864.93576288</v>
      </c>
      <c r="BC63" s="111">
        <f t="shared" si="60"/>
        <v>450069874.41823912</v>
      </c>
      <c r="BD63" s="111">
        <f t="shared" si="60"/>
        <v>439421013.90446204</v>
      </c>
      <c r="BE63" s="111">
        <f t="shared" si="60"/>
        <v>428662832.99104571</v>
      </c>
      <c r="BF63" s="111">
        <f t="shared" si="60"/>
        <v>417529517.20569217</v>
      </c>
      <c r="BG63" s="111">
        <f t="shared" si="60"/>
        <v>404627748.66102141</v>
      </c>
      <c r="BH63" s="111">
        <f t="shared" si="60"/>
        <v>393529668.04935634</v>
      </c>
      <c r="BI63" s="111">
        <f t="shared" si="60"/>
        <v>382139054.92370427</v>
      </c>
      <c r="BJ63" s="111">
        <f t="shared" si="60"/>
        <v>371584547.42673159</v>
      </c>
      <c r="BK63" s="111">
        <f t="shared" si="60"/>
        <v>361210386.22680777</v>
      </c>
      <c r="BL63" s="111">
        <f t="shared" si="60"/>
        <v>350266464.12741512</v>
      </c>
      <c r="BM63" s="111">
        <f t="shared" si="60"/>
        <v>339545280.41196036</v>
      </c>
      <c r="BN63" s="111">
        <f t="shared" si="60"/>
        <v>329218838.24934971</v>
      </c>
      <c r="BO63" s="111">
        <f t="shared" si="60"/>
        <v>319319839.48411661</v>
      </c>
      <c r="BP63" s="111">
        <f t="shared" si="60"/>
        <v>309162787.2464267</v>
      </c>
      <c r="BQ63" s="111">
        <f t="shared" si="60"/>
        <v>299375989.64024836</v>
      </c>
      <c r="BR63" s="111">
        <f t="shared" si="60"/>
        <v>289900953.96213365</v>
      </c>
      <c r="BS63" s="111">
        <f t="shared" si="60"/>
        <v>280518029.58850336</v>
      </c>
      <c r="BT63" s="111">
        <f t="shared" si="60"/>
        <v>271355587.82470405</v>
      </c>
      <c r="BU63" s="111">
        <f t="shared" si="60"/>
        <v>262466585.49238694</v>
      </c>
      <c r="BV63" s="111">
        <f t="shared" si="60"/>
        <v>253888051.38404098</v>
      </c>
      <c r="BW63" s="111">
        <f t="shared" si="60"/>
        <v>245256196.11405039</v>
      </c>
      <c r="BX63" s="111">
        <f t="shared" si="60"/>
        <v>237071762.79719335</v>
      </c>
      <c r="BY63" s="111">
        <f t="shared" si="60"/>
        <v>229155465.64584559</v>
      </c>
      <c r="CA63" s="9">
        <f t="shared" ref="CA63:DJ63" si="61">(D62-D63)/D62</f>
        <v>5.5437967662579031E-2</v>
      </c>
      <c r="CB63" s="9">
        <f t="shared" si="61"/>
        <v>5.9279247187166068E-2</v>
      </c>
      <c r="CC63" s="9">
        <f t="shared" si="61"/>
        <v>5.9958688343112181E-2</v>
      </c>
      <c r="CD63" s="9">
        <f t="shared" si="61"/>
        <v>5.400636658475623E-2</v>
      </c>
      <c r="CE63" s="9">
        <f t="shared" si="61"/>
        <v>5.1992253716979069E-2</v>
      </c>
      <c r="CF63" s="9">
        <f t="shared" si="61"/>
        <v>5.4610338665761385E-2</v>
      </c>
      <c r="CG63" s="9">
        <f t="shared" si="61"/>
        <v>5.4486169192520126E-2</v>
      </c>
      <c r="CH63" s="9">
        <f t="shared" si="61"/>
        <v>5.4302112563485598E-2</v>
      </c>
      <c r="CI63" s="9">
        <f t="shared" si="61"/>
        <v>5.389611940644759E-2</v>
      </c>
      <c r="CJ63" s="9">
        <f t="shared" si="61"/>
        <v>5.3385315353934072E-2</v>
      </c>
      <c r="CK63" s="9">
        <f t="shared" si="61"/>
        <v>5.2778900152402025E-2</v>
      </c>
      <c r="CL63" s="9">
        <f t="shared" si="61"/>
        <v>5.2127985589048874E-2</v>
      </c>
      <c r="CM63" s="9">
        <f t="shared" si="61"/>
        <v>5.1400845961044682E-2</v>
      </c>
      <c r="CN63" s="9">
        <f t="shared" si="61"/>
        <v>5.0619672245304434E-2</v>
      </c>
      <c r="CO63" s="9">
        <f t="shared" si="61"/>
        <v>4.9786118429412211E-2</v>
      </c>
      <c r="CP63" s="9">
        <f t="shared" si="61"/>
        <v>4.8930469250519859E-2</v>
      </c>
      <c r="CQ63" s="9">
        <f t="shared" si="61"/>
        <v>4.8036655906899962E-2</v>
      </c>
      <c r="CR63" s="9">
        <f t="shared" si="61"/>
        <v>4.7090191017263389E-2</v>
      </c>
      <c r="CS63" s="9">
        <f t="shared" si="61"/>
        <v>4.6122554798199204E-2</v>
      </c>
      <c r="CT63" s="9">
        <f t="shared" si="61"/>
        <v>4.51304165633317E-2</v>
      </c>
      <c r="CU63" s="9">
        <f t="shared" si="61"/>
        <v>4.4117048440746674E-2</v>
      </c>
      <c r="CV63" s="9">
        <f t="shared" si="61"/>
        <v>4.3081824146704514E-2</v>
      </c>
      <c r="CW63" s="9">
        <f t="shared" si="61"/>
        <v>4.203672630991391E-2</v>
      </c>
      <c r="CX63" s="9">
        <f t="shared" si="61"/>
        <v>4.098129714730625E-2</v>
      </c>
      <c r="CY63" s="9">
        <f t="shared" si="61"/>
        <v>3.9917347543471454E-2</v>
      </c>
      <c r="CZ63" s="9">
        <f t="shared" si="61"/>
        <v>3.8852128940132707E-2</v>
      </c>
      <c r="DA63" s="9">
        <f t="shared" si="61"/>
        <v>3.7793123365272414E-2</v>
      </c>
      <c r="DB63" s="9">
        <f t="shared" si="61"/>
        <v>3.6737932509043759E-2</v>
      </c>
      <c r="DC63" s="9">
        <f t="shared" si="61"/>
        <v>3.5690214139625705E-2</v>
      </c>
      <c r="DD63" s="9">
        <f t="shared" si="61"/>
        <v>3.4647986261262323E-2</v>
      </c>
      <c r="DE63" s="9">
        <f t="shared" si="61"/>
        <v>3.3614335137464625E-2</v>
      </c>
      <c r="DF63" s="9">
        <f t="shared" si="61"/>
        <v>3.259807009114854E-2</v>
      </c>
      <c r="DG63" s="9">
        <f t="shared" si="61"/>
        <v>3.1597024849508507E-2</v>
      </c>
      <c r="DH63" s="9">
        <f t="shared" si="61"/>
        <v>3.0607009876883202E-2</v>
      </c>
      <c r="DI63" s="9">
        <f t="shared" si="61"/>
        <v>2.9635367417395066E-2</v>
      </c>
      <c r="DJ63" s="9">
        <f t="shared" si="61"/>
        <v>2.8685617323120565E-2</v>
      </c>
    </row>
    <row r="64" spans="1:114" x14ac:dyDescent="0.3">
      <c r="A64" t="s">
        <v>749</v>
      </c>
      <c r="B64" t="s">
        <v>686</v>
      </c>
      <c r="C64" t="s">
        <v>696</v>
      </c>
      <c r="D64">
        <v>0.35196182883751598</v>
      </c>
      <c r="E64">
        <v>0.33939745728911902</v>
      </c>
      <c r="F64">
        <v>0.30994221283873702</v>
      </c>
      <c r="G64">
        <v>0.36245304006175499</v>
      </c>
      <c r="H64">
        <v>0.340786022006138</v>
      </c>
      <c r="I64">
        <v>0.33936289388351698</v>
      </c>
      <c r="J64">
        <v>0.33699417006464999</v>
      </c>
      <c r="K64">
        <v>0.33401822858077901</v>
      </c>
      <c r="L64">
        <v>0.33050502546767702</v>
      </c>
      <c r="M64">
        <v>0.32688890080192901</v>
      </c>
      <c r="N64">
        <v>0.32289700147274403</v>
      </c>
      <c r="O64">
        <v>0.31958221281604898</v>
      </c>
      <c r="P64">
        <v>0.31726388217113599</v>
      </c>
      <c r="Q64">
        <v>0.315361760891464</v>
      </c>
      <c r="R64">
        <v>0.314062924635504</v>
      </c>
      <c r="S64">
        <v>0.31267840327358998</v>
      </c>
      <c r="T64">
        <v>0.31135960628703102</v>
      </c>
      <c r="U64">
        <v>0.30957775218745898</v>
      </c>
      <c r="V64">
        <v>0.308038717493263</v>
      </c>
      <c r="W64">
        <v>0.306639532468506</v>
      </c>
      <c r="X64">
        <v>0.30549505248195602</v>
      </c>
      <c r="Y64">
        <v>0.30435788995025898</v>
      </c>
      <c r="Z64">
        <v>0.30319229124554797</v>
      </c>
      <c r="AA64">
        <v>0.30221945647566401</v>
      </c>
      <c r="AB64">
        <v>0.30142895913752599</v>
      </c>
      <c r="AC64">
        <v>0.30065092524019699</v>
      </c>
      <c r="AD64">
        <v>0.29982469164683201</v>
      </c>
      <c r="AE64">
        <v>0.29913978315552903</v>
      </c>
      <c r="AF64">
        <v>0.29844108746361497</v>
      </c>
      <c r="AG64">
        <v>0.29775189411340802</v>
      </c>
      <c r="AH64">
        <v>0.297062069679982</v>
      </c>
      <c r="AI64">
        <v>0.29649235834309901</v>
      </c>
      <c r="AJ64">
        <v>0.29592341262564498</v>
      </c>
      <c r="AK64">
        <v>0.29530123404421399</v>
      </c>
      <c r="AL64">
        <v>0.294689609742881</v>
      </c>
      <c r="AM64">
        <v>0.29423233895979301</v>
      </c>
      <c r="AO64" t="str">
        <f t="shared" si="31"/>
        <v>Baseline uncompeted_ENERGY STAR Rooftop HP v. 2.2 (FS)</v>
      </c>
      <c r="AP64" s="111"/>
      <c r="AQ64" s="111"/>
      <c r="AR64" s="111"/>
      <c r="AS64" s="111"/>
      <c r="AT64" s="111"/>
      <c r="AU64" s="209"/>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row>
    <row r="65" spans="1:114" x14ac:dyDescent="0.3">
      <c r="A65" t="s">
        <v>749</v>
      </c>
      <c r="B65" t="s">
        <v>685</v>
      </c>
      <c r="C65" t="s">
        <v>696</v>
      </c>
      <c r="D65">
        <v>0.28504573996466098</v>
      </c>
      <c r="E65">
        <v>0.27691088974808398</v>
      </c>
      <c r="F65">
        <v>0.25157185700649498</v>
      </c>
      <c r="G65">
        <v>0.28795728336557802</v>
      </c>
      <c r="H65">
        <v>0.26749772200217797</v>
      </c>
      <c r="I65">
        <v>0.26748021565042601</v>
      </c>
      <c r="J65">
        <v>0.263540369599507</v>
      </c>
      <c r="K65">
        <v>0.25933811565721498</v>
      </c>
      <c r="L65">
        <v>0.25508462455348202</v>
      </c>
      <c r="M65">
        <v>0.25153967667073901</v>
      </c>
      <c r="N65">
        <v>0.24731722409927001</v>
      </c>
      <c r="O65">
        <v>0.24377949448370501</v>
      </c>
      <c r="P65">
        <v>0.24120104390282299</v>
      </c>
      <c r="Q65">
        <v>0.239118996586108</v>
      </c>
      <c r="R65">
        <v>0.23792729110463401</v>
      </c>
      <c r="S65">
        <v>0.23652924106005199</v>
      </c>
      <c r="T65">
        <v>0.235049987977833</v>
      </c>
      <c r="U65">
        <v>0.232764167426075</v>
      </c>
      <c r="V65">
        <v>0.231194634246667</v>
      </c>
      <c r="W65">
        <v>0.22961315310842501</v>
      </c>
      <c r="X65">
        <v>0.22848887553701</v>
      </c>
      <c r="Y65">
        <v>0.227515113932658</v>
      </c>
      <c r="Z65">
        <v>0.22633172193902301</v>
      </c>
      <c r="AA65">
        <v>0.225355048781683</v>
      </c>
      <c r="AB65">
        <v>0.22460252875512701</v>
      </c>
      <c r="AC65">
        <v>0.22385076478904101</v>
      </c>
      <c r="AD65">
        <v>0.222997820125589</v>
      </c>
      <c r="AE65">
        <v>0.222244065755416</v>
      </c>
      <c r="AF65">
        <v>0.22153006527639599</v>
      </c>
      <c r="AG65">
        <v>0.22084281197053099</v>
      </c>
      <c r="AH65">
        <v>0.220162120422842</v>
      </c>
      <c r="AI65">
        <v>0.21962020351323999</v>
      </c>
      <c r="AJ65">
        <v>0.21919202171853</v>
      </c>
      <c r="AK65">
        <v>0.21864177703517701</v>
      </c>
      <c r="AL65">
        <v>0.21820243134734599</v>
      </c>
      <c r="AM65">
        <v>0.21782764826834</v>
      </c>
      <c r="AO65" t="str">
        <f t="shared" si="31"/>
        <v>Efficient uncompeted_ENERGY STAR Rooftop HP v. 2.2 (FS)</v>
      </c>
      <c r="AP65" s="111">
        <f t="shared" ref="AP65:BY65" si="62">(D64-D65)*293071083333.33</f>
        <v>19611170658.397003</v>
      </c>
      <c r="AQ65" s="111">
        <f t="shared" si="62"/>
        <v>18313006043.032436</v>
      </c>
      <c r="AR65" s="111">
        <f t="shared" si="62"/>
        <v>17106663418.307133</v>
      </c>
      <c r="AS65" s="111">
        <f t="shared" si="62"/>
        <v>21832552118.684761</v>
      </c>
      <c r="AT65" s="111">
        <f t="shared" si="62"/>
        <v>21478681477.818661</v>
      </c>
      <c r="AU65" s="209">
        <f t="shared" si="62"/>
        <v>21066734382.673149</v>
      </c>
      <c r="AV65" s="111">
        <f t="shared" si="62"/>
        <v>21527184877.269718</v>
      </c>
      <c r="AW65" s="111">
        <f t="shared" si="62"/>
        <v>21886581597.964329</v>
      </c>
      <c r="AX65" s="111">
        <f t="shared" si="62"/>
        <v>22103538601.357201</v>
      </c>
      <c r="AY65" s="111">
        <f t="shared" si="62"/>
        <v>22082678744.453743</v>
      </c>
      <c r="AZ65" s="111">
        <f t="shared" si="62"/>
        <v>22150247232.935932</v>
      </c>
      <c r="BA65" s="111">
        <f t="shared" si="62"/>
        <v>22215584781.271324</v>
      </c>
      <c r="BB65" s="111">
        <f t="shared" si="62"/>
        <v>22291818412.702366</v>
      </c>
      <c r="BC65" s="111">
        <f t="shared" si="62"/>
        <v>22344549531.298431</v>
      </c>
      <c r="BD65" s="111">
        <f t="shared" si="62"/>
        <v>22313152599.161476</v>
      </c>
      <c r="BE65" s="111">
        <f t="shared" si="62"/>
        <v>22317117464.847057</v>
      </c>
      <c r="BF65" s="111">
        <f t="shared" si="62"/>
        <v>22364142506.629581</v>
      </c>
      <c r="BG65" s="111">
        <f t="shared" si="62"/>
        <v>22511840500.735371</v>
      </c>
      <c r="BH65" s="111">
        <f t="shared" si="62"/>
        <v>22520778724.836487</v>
      </c>
      <c r="BI65" s="111">
        <f t="shared" si="62"/>
        <v>22574204444.30299</v>
      </c>
      <c r="BJ65" s="111">
        <f t="shared" si="62"/>
        <v>22568283700.61343</v>
      </c>
      <c r="BK65" s="111">
        <f t="shared" si="62"/>
        <v>22520395613.818748</v>
      </c>
      <c r="BL65" s="111">
        <f t="shared" si="62"/>
        <v>22525610312.279766</v>
      </c>
      <c r="BM65" s="111">
        <f t="shared" si="62"/>
        <v>22526735232.649761</v>
      </c>
      <c r="BN65" s="111">
        <f t="shared" si="62"/>
        <v>22515605180.802326</v>
      </c>
      <c r="BO65" s="111">
        <f t="shared" si="62"/>
        <v>22507906223.593849</v>
      </c>
      <c r="BP65" s="111">
        <f t="shared" si="62"/>
        <v>22515734465.841248</v>
      </c>
      <c r="BQ65" s="111">
        <f t="shared" si="62"/>
        <v>22535911202.144722</v>
      </c>
      <c r="BR65" s="111">
        <f t="shared" si="62"/>
        <v>22540396592.682049</v>
      </c>
      <c r="BS65" s="111">
        <f t="shared" si="62"/>
        <v>22539828021.785038</v>
      </c>
      <c r="BT65" s="111">
        <f t="shared" si="62"/>
        <v>22537151437.068127</v>
      </c>
      <c r="BU65" s="111">
        <f t="shared" si="62"/>
        <v>22529005694.154259</v>
      </c>
      <c r="BV65" s="111">
        <f t="shared" si="62"/>
        <v>22487751858.821415</v>
      </c>
      <c r="BW65" s="111">
        <f t="shared" si="62"/>
        <v>22466670113.383308</v>
      </c>
      <c r="BX65" s="111">
        <f t="shared" si="62"/>
        <v>22416180233.48912</v>
      </c>
      <c r="BY65" s="111">
        <f t="shared" si="62"/>
        <v>22392005472.692127</v>
      </c>
      <c r="CA65" s="9">
        <f t="shared" ref="CA65:DJ65" si="63">(D64-D65)/D64</f>
        <v>0.19012314231310284</v>
      </c>
      <c r="CB65" s="9">
        <f t="shared" si="63"/>
        <v>0.18411029958838276</v>
      </c>
      <c r="CC65" s="9">
        <f t="shared" si="63"/>
        <v>0.18832657642091541</v>
      </c>
      <c r="CD65" s="9">
        <f t="shared" si="63"/>
        <v>0.20553216130697741</v>
      </c>
      <c r="CE65" s="9">
        <f t="shared" si="63"/>
        <v>0.21505664925024423</v>
      </c>
      <c r="CF65" s="9">
        <f t="shared" si="63"/>
        <v>0.21181655251255607</v>
      </c>
      <c r="CG65" s="9">
        <f t="shared" si="63"/>
        <v>0.21796757033230393</v>
      </c>
      <c r="CH65" s="9">
        <f t="shared" si="63"/>
        <v>0.22358095018009885</v>
      </c>
      <c r="CI65" s="9">
        <f t="shared" si="63"/>
        <v>0.22819744059102368</v>
      </c>
      <c r="CJ65" s="9">
        <f t="shared" si="63"/>
        <v>0.23050407629730496</v>
      </c>
      <c r="CK65" s="9">
        <f t="shared" si="63"/>
        <v>0.23406775853833303</v>
      </c>
      <c r="CL65" s="9">
        <f t="shared" si="63"/>
        <v>0.23719317062234593</v>
      </c>
      <c r="CM65" s="9">
        <f t="shared" si="63"/>
        <v>0.23974628863453101</v>
      </c>
      <c r="CN65" s="9">
        <f t="shared" si="63"/>
        <v>0.24176286969553035</v>
      </c>
      <c r="CO65" s="9">
        <f t="shared" si="63"/>
        <v>0.24242158993848667</v>
      </c>
      <c r="CP65" s="9">
        <f t="shared" si="63"/>
        <v>0.24353828539577244</v>
      </c>
      <c r="CQ65" s="9">
        <f t="shared" si="63"/>
        <v>0.24508515802416253</v>
      </c>
      <c r="CR65" s="9">
        <f t="shared" si="63"/>
        <v>0.24812372406810085</v>
      </c>
      <c r="CS65" s="9">
        <f t="shared" si="63"/>
        <v>0.24946241781530801</v>
      </c>
      <c r="CT65" s="9">
        <f t="shared" si="63"/>
        <v>0.25119520219719921</v>
      </c>
      <c r="CU65" s="9">
        <f t="shared" si="63"/>
        <v>0.25207012787709343</v>
      </c>
      <c r="CV65" s="9">
        <f t="shared" si="63"/>
        <v>0.25247505832741629</v>
      </c>
      <c r="CW65" s="9">
        <f t="shared" si="63"/>
        <v>0.25350436513663693</v>
      </c>
      <c r="CX65" s="9">
        <f t="shared" si="63"/>
        <v>0.25433308824764717</v>
      </c>
      <c r="CY65" s="9">
        <f t="shared" si="63"/>
        <v>0.25487408576210213</v>
      </c>
      <c r="CZ65" s="9">
        <f t="shared" si="63"/>
        <v>0.25544628006648756</v>
      </c>
      <c r="DA65" s="9">
        <f t="shared" si="63"/>
        <v>0.2562393080411754</v>
      </c>
      <c r="DB65" s="9">
        <f t="shared" si="63"/>
        <v>0.25705613806684263</v>
      </c>
      <c r="DC65" s="9">
        <f t="shared" si="63"/>
        <v>0.25770922777714295</v>
      </c>
      <c r="DD65" s="9">
        <f t="shared" si="63"/>
        <v>0.25829922046972381</v>
      </c>
      <c r="DE65" s="9">
        <f t="shared" si="63"/>
        <v>0.25886828749285462</v>
      </c>
      <c r="DF65" s="9">
        <f t="shared" si="63"/>
        <v>0.25927195985571766</v>
      </c>
      <c r="DG65" s="9">
        <f t="shared" si="63"/>
        <v>0.25929476220316261</v>
      </c>
      <c r="DH65" s="9">
        <f t="shared" si="63"/>
        <v>0.25959748274387212</v>
      </c>
      <c r="DI65" s="9">
        <f t="shared" si="63"/>
        <v>0.2595516634002491</v>
      </c>
      <c r="DJ65" s="9">
        <f t="shared" si="63"/>
        <v>0.25967468756686785</v>
      </c>
    </row>
    <row r="66" spans="1:114" x14ac:dyDescent="0.3">
      <c r="A66" t="s">
        <v>747</v>
      </c>
      <c r="B66" t="s">
        <v>686</v>
      </c>
      <c r="C66" t="s">
        <v>746</v>
      </c>
      <c r="D66">
        <v>0.20720447512413401</v>
      </c>
      <c r="E66">
        <v>0.210499011959277</v>
      </c>
      <c r="F66">
        <v>0.19039438268502101</v>
      </c>
      <c r="G66">
        <v>0.19549821158817199</v>
      </c>
      <c r="H66">
        <v>0.171577676640709</v>
      </c>
      <c r="I66">
        <v>0.17923196206022901</v>
      </c>
      <c r="J66">
        <v>0.175147803766495</v>
      </c>
      <c r="K66">
        <v>0.170797834049255</v>
      </c>
      <c r="L66">
        <v>0.16640812938079699</v>
      </c>
      <c r="M66">
        <v>0.162462983053203</v>
      </c>
      <c r="N66">
        <v>0.15797365631965299</v>
      </c>
      <c r="O66">
        <v>0.153877178800019</v>
      </c>
      <c r="P66">
        <v>0.15035081981443299</v>
      </c>
      <c r="Q66">
        <v>0.14725344792296899</v>
      </c>
      <c r="R66">
        <v>0.144760592607862</v>
      </c>
      <c r="S66">
        <v>0.142164252480287</v>
      </c>
      <c r="T66">
        <v>0.13955483807792099</v>
      </c>
      <c r="U66">
        <v>0.13654467560096101</v>
      </c>
      <c r="V66">
        <v>0.13405669688823799</v>
      </c>
      <c r="W66">
        <v>0.131637590628086</v>
      </c>
      <c r="X66">
        <v>0.12951605412336201</v>
      </c>
      <c r="Y66">
        <v>0.12752519262870601</v>
      </c>
      <c r="Z66">
        <v>0.12546991165904001</v>
      </c>
      <c r="AA66">
        <v>0.123541775926094</v>
      </c>
      <c r="AB66">
        <v>0.12179257172428801</v>
      </c>
      <c r="AC66">
        <v>0.12015771263548</v>
      </c>
      <c r="AD66">
        <v>0.118469641369177</v>
      </c>
      <c r="AE66">
        <v>0.116932236680684</v>
      </c>
      <c r="AF66">
        <v>0.115481172862725</v>
      </c>
      <c r="AG66">
        <v>0.11408656031962</v>
      </c>
      <c r="AH66">
        <v>0.11273399026245901</v>
      </c>
      <c r="AI66">
        <v>0.11150759262835</v>
      </c>
      <c r="AJ66">
        <v>0.110364889347993</v>
      </c>
      <c r="AK66">
        <v>0.10918038912908699</v>
      </c>
      <c r="AL66">
        <v>0.10817613393721601</v>
      </c>
      <c r="AM66">
        <v>0.107284235055445</v>
      </c>
      <c r="AO66" t="str">
        <f t="shared" si="31"/>
        <v>Baseline uncompeted_ENERGY STAR RTU v. 2.2</v>
      </c>
      <c r="AP66" s="111"/>
      <c r="AQ66" s="111"/>
      <c r="AR66" s="111"/>
      <c r="AS66" s="111"/>
      <c r="AT66" s="111"/>
      <c r="AU66" s="209"/>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row>
    <row r="67" spans="1:114" x14ac:dyDescent="0.3">
      <c r="A67" t="s">
        <v>747</v>
      </c>
      <c r="B67" t="s">
        <v>685</v>
      </c>
      <c r="C67" t="s">
        <v>746</v>
      </c>
      <c r="D67">
        <v>0.20720447512413401</v>
      </c>
      <c r="E67">
        <v>0.210499011959277</v>
      </c>
      <c r="F67">
        <v>0.19039438268502101</v>
      </c>
      <c r="G67">
        <v>0.17401461436628299</v>
      </c>
      <c r="H67">
        <v>0.152766551364338</v>
      </c>
      <c r="I67">
        <v>0.15966959011593901</v>
      </c>
      <c r="J67">
        <v>0.156150852970386</v>
      </c>
      <c r="K67">
        <v>0.15241957606693601</v>
      </c>
      <c r="L67">
        <v>0.14868867088254001</v>
      </c>
      <c r="M67">
        <v>0.145382781113328</v>
      </c>
      <c r="N67">
        <v>0.14161001469499601</v>
      </c>
      <c r="O67">
        <v>0.13820263269115701</v>
      </c>
      <c r="P67">
        <v>0.135316464296932</v>
      </c>
      <c r="Q67">
        <v>0.132822590036556</v>
      </c>
      <c r="R67">
        <v>0.13087819658370001</v>
      </c>
      <c r="S67">
        <v>0.12884200682845201</v>
      </c>
      <c r="T67">
        <v>0.12679254475985299</v>
      </c>
      <c r="U67">
        <v>0.124373951209306</v>
      </c>
      <c r="V67">
        <v>0.122424006668908</v>
      </c>
      <c r="W67">
        <v>0.12052935773741499</v>
      </c>
      <c r="X67">
        <v>0.118898804722827</v>
      </c>
      <c r="Y67">
        <v>0.11737951261231599</v>
      </c>
      <c r="Z67">
        <v>0.115791197271466</v>
      </c>
      <c r="AA67">
        <v>0.11430972022369</v>
      </c>
      <c r="AB67">
        <v>0.112983218063357</v>
      </c>
      <c r="AC67">
        <v>0.111752257821176</v>
      </c>
      <c r="AD67">
        <v>0.110460926337577</v>
      </c>
      <c r="AE67">
        <v>0.10929893391336699</v>
      </c>
      <c r="AF67">
        <v>0.108206759781536</v>
      </c>
      <c r="AG67">
        <v>0.107156678378583</v>
      </c>
      <c r="AH67">
        <v>0.106135316850912</v>
      </c>
      <c r="AI67">
        <v>0.105222209281637</v>
      </c>
      <c r="AJ67">
        <v>0.104377940827274</v>
      </c>
      <c r="AK67">
        <v>0.10348405280263601</v>
      </c>
      <c r="AL67">
        <v>0.102751199959579</v>
      </c>
      <c r="AM67">
        <v>0.102115865922597</v>
      </c>
      <c r="AO67" t="str">
        <f t="shared" ref="AO67:AO98" si="64">CONCATENATE(B67,"_",A67)</f>
        <v>Efficient uncompeted_ENERGY STAR RTU v. 2.2</v>
      </c>
      <c r="AP67" s="111">
        <f t="shared" ref="AP67:BY67" si="65">(D66-D67)*293071083333.33</f>
        <v>0</v>
      </c>
      <c r="AQ67" s="111">
        <f t="shared" si="65"/>
        <v>0</v>
      </c>
      <c r="AR67" s="111">
        <f t="shared" si="65"/>
        <v>0</v>
      </c>
      <c r="AS67" s="111">
        <f t="shared" si="65"/>
        <v>6296221111.7159281</v>
      </c>
      <c r="AT67" s="111">
        <f t="shared" si="65"/>
        <v>5512996863.4650345</v>
      </c>
      <c r="AU67" s="209">
        <f t="shared" si="65"/>
        <v>5733165538.2826128</v>
      </c>
      <c r="AV67" s="111">
        <f t="shared" si="65"/>
        <v>5567456949.8456297</v>
      </c>
      <c r="AW67" s="111">
        <f t="shared" si="65"/>
        <v>5386135976.6576452</v>
      </c>
      <c r="AX67" s="111">
        <f t="shared" si="65"/>
        <v>5193060898.164156</v>
      </c>
      <c r="AY67" s="111">
        <f t="shared" si="65"/>
        <v>5005713286.0712109</v>
      </c>
      <c r="AZ67" s="111">
        <f t="shared" si="65"/>
        <v>4795710178.2165928</v>
      </c>
      <c r="BA67" s="111">
        <f t="shared" si="65"/>
        <v>4593756208.8824148</v>
      </c>
      <c r="BB67" s="111">
        <f t="shared" si="65"/>
        <v>4406134858.7324409</v>
      </c>
      <c r="BC67" s="111">
        <f t="shared" si="65"/>
        <v>4229267154.2003841</v>
      </c>
      <c r="BD67" s="111">
        <f t="shared" si="65"/>
        <v>4068528842.0634699</v>
      </c>
      <c r="BE67" s="111">
        <f t="shared" si="65"/>
        <v>3904364965.6160245</v>
      </c>
      <c r="BF67" s="111">
        <f t="shared" si="65"/>
        <v>3740259128.5439067</v>
      </c>
      <c r="BG67" s="111">
        <f t="shared" si="65"/>
        <v>3566887382.4137173</v>
      </c>
      <c r="BH67" s="111">
        <f t="shared" si="65"/>
        <v>3409205124.6600714</v>
      </c>
      <c r="BI67" s="111">
        <f t="shared" si="65"/>
        <v>3255501847.1878796</v>
      </c>
      <c r="BJ67" s="111">
        <f t="shared" si="65"/>
        <v>3111608783.8349419</v>
      </c>
      <c r="BK67" s="111">
        <f t="shared" si="65"/>
        <v>2973405433.5567403</v>
      </c>
      <c r="BL67" s="111">
        <f t="shared" si="65"/>
        <v>2836551310.8402014</v>
      </c>
      <c r="BM67" s="111">
        <f t="shared" si="65"/>
        <v>2705648566.097187</v>
      </c>
      <c r="BN67" s="111">
        <f t="shared" si="65"/>
        <v>2581766820.8754878</v>
      </c>
      <c r="BO67" s="111">
        <f t="shared" si="65"/>
        <v>2463395748.3374295</v>
      </c>
      <c r="BP67" s="111">
        <f t="shared" si="65"/>
        <v>2347122790.4189363</v>
      </c>
      <c r="BQ67" s="111">
        <f t="shared" si="65"/>
        <v>2237100311.4289021</v>
      </c>
      <c r="BR67" s="111">
        <f t="shared" si="65"/>
        <v>2131920122.3182054</v>
      </c>
      <c r="BS67" s="111">
        <f t="shared" si="65"/>
        <v>2030948007.8317926</v>
      </c>
      <c r="BT67" s="111">
        <f t="shared" si="65"/>
        <v>1933880365.2849212</v>
      </c>
      <c r="BU67" s="111">
        <f t="shared" si="65"/>
        <v>1842064106.5864494</v>
      </c>
      <c r="BV67" s="111">
        <f t="shared" si="65"/>
        <v>1754601488.8279953</v>
      </c>
      <c r="BW67" s="111">
        <f t="shared" si="65"/>
        <v>1669431458.2239923</v>
      </c>
      <c r="BX67" s="111">
        <f t="shared" si="65"/>
        <v>1589891277.8378685</v>
      </c>
      <c r="BY67" s="111">
        <f t="shared" si="65"/>
        <v>1514699540.8303075</v>
      </c>
      <c r="CA67" s="9">
        <f t="shared" ref="CA67:DJ67" si="66">(D66-D67)/D66</f>
        <v>0</v>
      </c>
      <c r="CB67" s="9">
        <f t="shared" si="66"/>
        <v>0</v>
      </c>
      <c r="CC67" s="9">
        <f t="shared" si="66"/>
        <v>0</v>
      </c>
      <c r="CD67" s="9">
        <f t="shared" si="66"/>
        <v>0.10989152814934906</v>
      </c>
      <c r="CE67" s="9">
        <f t="shared" si="66"/>
        <v>0.10963620468974117</v>
      </c>
      <c r="CF67" s="9">
        <f t="shared" si="66"/>
        <v>0.10914555484091767</v>
      </c>
      <c r="CG67" s="9">
        <f t="shared" si="66"/>
        <v>0.10846239797237486</v>
      </c>
      <c r="CH67" s="9">
        <f t="shared" si="66"/>
        <v>0.10760240657981078</v>
      </c>
      <c r="CI67" s="9">
        <f t="shared" si="66"/>
        <v>0.10648192828193499</v>
      </c>
      <c r="CJ67" s="9">
        <f t="shared" si="66"/>
        <v>0.10513288392766748</v>
      </c>
      <c r="CK67" s="9">
        <f t="shared" si="66"/>
        <v>0.10358462294210526</v>
      </c>
      <c r="CL67" s="9">
        <f t="shared" si="66"/>
        <v>0.10186400758771938</v>
      </c>
      <c r="CM67" s="9">
        <f t="shared" si="66"/>
        <v>9.9995168207641233E-2</v>
      </c>
      <c r="CN67" s="9">
        <f t="shared" si="66"/>
        <v>9.800013575208126E-2</v>
      </c>
      <c r="CO67" s="9">
        <f t="shared" si="66"/>
        <v>9.5898999679889671E-2</v>
      </c>
      <c r="CP67" s="9">
        <f t="shared" si="66"/>
        <v>9.3710236008044956E-2</v>
      </c>
      <c r="CQ67" s="9">
        <f t="shared" si="66"/>
        <v>9.1450024190075876E-2</v>
      </c>
      <c r="CR67" s="9">
        <f t="shared" si="66"/>
        <v>8.9133643169088533E-2</v>
      </c>
      <c r="CS67" s="9">
        <f t="shared" si="66"/>
        <v>8.6774405824932926E-2</v>
      </c>
      <c r="CT67" s="9">
        <f t="shared" si="66"/>
        <v>8.4384960539538839E-2</v>
      </c>
      <c r="CU67" s="9">
        <f t="shared" si="66"/>
        <v>8.1976319247822671E-2</v>
      </c>
      <c r="CV67" s="9">
        <f t="shared" si="66"/>
        <v>7.9558241060097942E-2</v>
      </c>
      <c r="CW67" s="9">
        <f t="shared" si="66"/>
        <v>7.7139724254174702E-2</v>
      </c>
      <c r="CX67" s="9">
        <f t="shared" si="66"/>
        <v>7.4728209410935303E-2</v>
      </c>
      <c r="CY67" s="9">
        <f t="shared" si="66"/>
        <v>7.2330796010067658E-2</v>
      </c>
      <c r="CZ67" s="9">
        <f t="shared" si="66"/>
        <v>6.9953518837392176E-2</v>
      </c>
      <c r="DA67" s="9">
        <f t="shared" si="66"/>
        <v>6.7601411965476574E-2</v>
      </c>
      <c r="DB67" s="9">
        <f t="shared" si="66"/>
        <v>6.5279712284661645E-2</v>
      </c>
      <c r="DC67" s="9">
        <f t="shared" si="66"/>
        <v>6.2992199514948194E-2</v>
      </c>
      <c r="DD67" s="9">
        <f t="shared" si="66"/>
        <v>6.074231637471178E-2</v>
      </c>
      <c r="DE67" s="9">
        <f t="shared" si="66"/>
        <v>5.853313092337508E-2</v>
      </c>
      <c r="DF67" s="9">
        <f t="shared" si="66"/>
        <v>5.6367312741311786E-2</v>
      </c>
      <c r="DG67" s="9">
        <f t="shared" si="66"/>
        <v>5.4246858363092947E-2</v>
      </c>
      <c r="DH67" s="9">
        <f t="shared" si="66"/>
        <v>5.2173621763850389E-2</v>
      </c>
      <c r="DI67" s="9">
        <f t="shared" si="66"/>
        <v>5.014908353801556E-2</v>
      </c>
      <c r="DJ67" s="9">
        <f t="shared" si="66"/>
        <v>4.8174544285812027E-2</v>
      </c>
    </row>
    <row r="68" spans="1:114" x14ac:dyDescent="0.3">
      <c r="A68" t="s">
        <v>742</v>
      </c>
      <c r="B68" t="s">
        <v>686</v>
      </c>
      <c r="C68" t="s">
        <v>741</v>
      </c>
      <c r="D68">
        <v>0.90583658749999896</v>
      </c>
      <c r="E68">
        <v>0.90339554109999998</v>
      </c>
      <c r="F68">
        <v>0.84994879655198696</v>
      </c>
      <c r="G68">
        <v>0.92261710082273996</v>
      </c>
      <c r="H68">
        <v>0.87167251296816795</v>
      </c>
      <c r="I68">
        <v>0.88462619887535598</v>
      </c>
      <c r="J68">
        <v>0.87899696348096001</v>
      </c>
      <c r="K68">
        <v>0.87239788679026198</v>
      </c>
      <c r="L68">
        <v>0.86535219676583697</v>
      </c>
      <c r="M68">
        <v>0.85941361300782004</v>
      </c>
      <c r="N68">
        <v>0.85103279944829902</v>
      </c>
      <c r="O68">
        <v>0.83966622631480103</v>
      </c>
      <c r="P68">
        <v>0.83117726579232898</v>
      </c>
      <c r="Q68">
        <v>0.82451809071126303</v>
      </c>
      <c r="R68">
        <v>0.82050423327483102</v>
      </c>
      <c r="S68">
        <v>0.81578536997610895</v>
      </c>
      <c r="T68">
        <v>0.81107808739661502</v>
      </c>
      <c r="U68">
        <v>0.80455124064600503</v>
      </c>
      <c r="V68">
        <v>0.80013359073662405</v>
      </c>
      <c r="W68">
        <v>0.79592732002321298</v>
      </c>
      <c r="X68">
        <v>0.79304728035598104</v>
      </c>
      <c r="Y68">
        <v>0.79061683448439302</v>
      </c>
      <c r="Z68">
        <v>0.78776465330822398</v>
      </c>
      <c r="AA68">
        <v>0.78551306990903103</v>
      </c>
      <c r="AB68">
        <v>0.78421115338984804</v>
      </c>
      <c r="AC68">
        <v>0.78297225517094904</v>
      </c>
      <c r="AD68">
        <v>0.78139125575776702</v>
      </c>
      <c r="AE68">
        <v>0.78050090512249604</v>
      </c>
      <c r="AF68">
        <v>0.77990685635770396</v>
      </c>
      <c r="AG68">
        <v>0.77958329043962105</v>
      </c>
      <c r="AH68">
        <v>0.77942985596956704</v>
      </c>
      <c r="AI68">
        <v>0.77980930135985604</v>
      </c>
      <c r="AJ68">
        <v>0.78058491065204605</v>
      </c>
      <c r="AK68">
        <v>0.78111163528894401</v>
      </c>
      <c r="AL68">
        <v>0.78231563090052703</v>
      </c>
      <c r="AM68">
        <v>0.78401175978081605</v>
      </c>
      <c r="AO68" t="str">
        <f t="shared" si="64"/>
        <v>Baseline uncompeted_Prospective AFDD + Submetering 2030</v>
      </c>
      <c r="AP68" s="111"/>
      <c r="AQ68" s="111"/>
      <c r="AR68" s="111"/>
      <c r="AS68" s="111"/>
      <c r="AT68" s="111"/>
      <c r="AU68" s="209"/>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row>
    <row r="69" spans="1:114" x14ac:dyDescent="0.3">
      <c r="A69" t="s">
        <v>742</v>
      </c>
      <c r="B69" t="s">
        <v>685</v>
      </c>
      <c r="C69" t="s">
        <v>741</v>
      </c>
      <c r="D69">
        <v>0.90583658749999896</v>
      </c>
      <c r="E69">
        <v>0.90339554109999998</v>
      </c>
      <c r="F69">
        <v>0.84994879655198696</v>
      </c>
      <c r="G69">
        <v>0.92261710082273996</v>
      </c>
      <c r="H69">
        <v>0.87167251296816795</v>
      </c>
      <c r="I69">
        <v>0.88462619887535598</v>
      </c>
      <c r="J69">
        <v>0.87899696348096001</v>
      </c>
      <c r="K69">
        <v>0.87239788679026198</v>
      </c>
      <c r="L69">
        <v>0.86535219676583697</v>
      </c>
      <c r="M69">
        <v>0.85941361300782004</v>
      </c>
      <c r="N69">
        <v>0.85103279944829902</v>
      </c>
      <c r="O69">
        <v>0.83966622631480103</v>
      </c>
      <c r="P69">
        <v>0.83117726579232898</v>
      </c>
      <c r="Q69">
        <v>0.82451809071126303</v>
      </c>
      <c r="R69">
        <v>0.82050423327483102</v>
      </c>
      <c r="S69">
        <v>0.57104975898327603</v>
      </c>
      <c r="T69">
        <v>0.56775466117763096</v>
      </c>
      <c r="U69">
        <v>0.56318586845220397</v>
      </c>
      <c r="V69">
        <v>0.56009351351563597</v>
      </c>
      <c r="W69">
        <v>0.55714912401624905</v>
      </c>
      <c r="X69">
        <v>0.55513309624918605</v>
      </c>
      <c r="Y69">
        <v>0.55343178413907501</v>
      </c>
      <c r="Z69">
        <v>0.55143525731575704</v>
      </c>
      <c r="AA69">
        <v>0.54985914893632104</v>
      </c>
      <c r="AB69">
        <v>0.54894780737289295</v>
      </c>
      <c r="AC69">
        <v>0.54808057861966397</v>
      </c>
      <c r="AD69">
        <v>0.54697387903043704</v>
      </c>
      <c r="AE69">
        <v>0.54635063358574698</v>
      </c>
      <c r="AF69">
        <v>0.54593479945039203</v>
      </c>
      <c r="AG69">
        <v>0.54570830330773501</v>
      </c>
      <c r="AH69">
        <v>0.54560089917869603</v>
      </c>
      <c r="AI69">
        <v>0.54586651095189898</v>
      </c>
      <c r="AJ69">
        <v>0.546409437456432</v>
      </c>
      <c r="AK69">
        <v>0.54677814470226005</v>
      </c>
      <c r="AL69">
        <v>0.54762094163036801</v>
      </c>
      <c r="AM69">
        <v>0.54880823184657102</v>
      </c>
      <c r="AO69" t="str">
        <f t="shared" si="64"/>
        <v>Efficient uncompeted_Prospective AFDD + Submetering 2030</v>
      </c>
      <c r="AP69" s="111">
        <f t="shared" ref="AP69:BY69" si="67">(D68-D69)*293071083333.33</f>
        <v>0</v>
      </c>
      <c r="AQ69" s="111">
        <f t="shared" si="67"/>
        <v>0</v>
      </c>
      <c r="AR69" s="111">
        <f t="shared" si="67"/>
        <v>0</v>
      </c>
      <c r="AS69" s="111">
        <f t="shared" si="67"/>
        <v>0</v>
      </c>
      <c r="AT69" s="111">
        <f t="shared" si="67"/>
        <v>0</v>
      </c>
      <c r="AU69" s="209">
        <f t="shared" si="67"/>
        <v>0</v>
      </c>
      <c r="AV69" s="111">
        <f t="shared" si="67"/>
        <v>0</v>
      </c>
      <c r="AW69" s="111">
        <f t="shared" si="67"/>
        <v>0</v>
      </c>
      <c r="AX69" s="111">
        <f t="shared" si="67"/>
        <v>0</v>
      </c>
      <c r="AY69" s="111">
        <f t="shared" si="67"/>
        <v>0</v>
      </c>
      <c r="AZ69" s="111">
        <f t="shared" si="67"/>
        <v>0</v>
      </c>
      <c r="BA69" s="111">
        <f t="shared" si="67"/>
        <v>0</v>
      </c>
      <c r="BB69" s="111">
        <f t="shared" si="67"/>
        <v>0</v>
      </c>
      <c r="BC69" s="111">
        <f t="shared" si="67"/>
        <v>0</v>
      </c>
      <c r="BD69" s="111">
        <f t="shared" si="67"/>
        <v>0</v>
      </c>
      <c r="BE69" s="111">
        <f t="shared" si="67"/>
        <v>71724930643.913971</v>
      </c>
      <c r="BF69" s="111">
        <f t="shared" si="67"/>
        <v>71311060122.375259</v>
      </c>
      <c r="BG69" s="111">
        <f t="shared" si="67"/>
        <v>70737211107.989685</v>
      </c>
      <c r="BH69" s="111">
        <f t="shared" si="67"/>
        <v>70348805474.571167</v>
      </c>
      <c r="BI69" s="111">
        <f t="shared" si="67"/>
        <v>69978984580.13913</v>
      </c>
      <c r="BJ69" s="111">
        <f t="shared" si="67"/>
        <v>69725767676.543732</v>
      </c>
      <c r="BK69" s="111">
        <f t="shared" si="67"/>
        <v>69512079655.172775</v>
      </c>
      <c r="BL69" s="111">
        <f t="shared" si="67"/>
        <v>69261312107.023834</v>
      </c>
      <c r="BM69" s="111">
        <f t="shared" si="67"/>
        <v>69063349911.219055</v>
      </c>
      <c r="BN69" s="111">
        <f t="shared" si="67"/>
        <v>68948883685.813095</v>
      </c>
      <c r="BO69" s="111">
        <f t="shared" si="67"/>
        <v>68839958112.867264</v>
      </c>
      <c r="BP69" s="111">
        <f t="shared" si="67"/>
        <v>68700954549.635941</v>
      </c>
      <c r="BQ69" s="111">
        <f t="shared" si="67"/>
        <v>68622673742.068436</v>
      </c>
      <c r="BR69" s="111">
        <f t="shared" si="67"/>
        <v>68570444187.553452</v>
      </c>
      <c r="BS69" s="111">
        <f t="shared" si="67"/>
        <v>68541995843.310455</v>
      </c>
      <c r="BT69" s="111">
        <f t="shared" si="67"/>
        <v>68528505681.402985</v>
      </c>
      <c r="BU69" s="111">
        <f t="shared" si="67"/>
        <v>68561867022.882141</v>
      </c>
      <c r="BV69" s="111">
        <f t="shared" si="67"/>
        <v>68630059619.533791</v>
      </c>
      <c r="BW69" s="111">
        <f t="shared" si="67"/>
        <v>68676369947.520157</v>
      </c>
      <c r="BX69" s="111">
        <f t="shared" si="67"/>
        <v>68782226836.984772</v>
      </c>
      <c r="BY69" s="111">
        <f t="shared" si="67"/>
        <v>68931352735.510345</v>
      </c>
      <c r="CA69" s="9">
        <f t="shared" ref="CA69:DJ69" si="68">(D68-D69)/D68</f>
        <v>0</v>
      </c>
      <c r="CB69" s="9">
        <f t="shared" si="68"/>
        <v>0</v>
      </c>
      <c r="CC69" s="9">
        <f t="shared" si="68"/>
        <v>0</v>
      </c>
      <c r="CD69" s="9">
        <f t="shared" si="68"/>
        <v>0</v>
      </c>
      <c r="CE69" s="9">
        <f t="shared" si="68"/>
        <v>0</v>
      </c>
      <c r="CF69" s="9">
        <f t="shared" si="68"/>
        <v>0</v>
      </c>
      <c r="CG69" s="9">
        <f t="shared" si="68"/>
        <v>0</v>
      </c>
      <c r="CH69" s="9">
        <f t="shared" si="68"/>
        <v>0</v>
      </c>
      <c r="CI69" s="9">
        <f t="shared" si="68"/>
        <v>0</v>
      </c>
      <c r="CJ69" s="9">
        <f t="shared" si="68"/>
        <v>0</v>
      </c>
      <c r="CK69" s="9">
        <f t="shared" si="68"/>
        <v>0</v>
      </c>
      <c r="CL69" s="9">
        <f t="shared" si="68"/>
        <v>0</v>
      </c>
      <c r="CM69" s="9">
        <f t="shared" si="68"/>
        <v>0</v>
      </c>
      <c r="CN69" s="9">
        <f t="shared" si="68"/>
        <v>0</v>
      </c>
      <c r="CO69" s="9">
        <f t="shared" si="68"/>
        <v>0</v>
      </c>
      <c r="CP69" s="9">
        <f t="shared" si="68"/>
        <v>0.30000000000000027</v>
      </c>
      <c r="CQ69" s="9">
        <f t="shared" si="68"/>
        <v>0.29999999999999943</v>
      </c>
      <c r="CR69" s="9">
        <f t="shared" si="68"/>
        <v>0.29999999999999943</v>
      </c>
      <c r="CS69" s="9">
        <f t="shared" si="68"/>
        <v>0.3000000000000011</v>
      </c>
      <c r="CT69" s="9">
        <f t="shared" si="68"/>
        <v>0.30000000000000004</v>
      </c>
      <c r="CU69" s="9">
        <f t="shared" si="68"/>
        <v>0.30000000000000088</v>
      </c>
      <c r="CV69" s="9">
        <f t="shared" si="68"/>
        <v>0.3000000000000001</v>
      </c>
      <c r="CW69" s="9">
        <f t="shared" si="68"/>
        <v>0.29999999999999966</v>
      </c>
      <c r="CX69" s="9">
        <f t="shared" si="68"/>
        <v>0.30000000000000088</v>
      </c>
      <c r="CY69" s="9">
        <f t="shared" si="68"/>
        <v>0.30000000000000088</v>
      </c>
      <c r="CZ69" s="9">
        <f t="shared" si="68"/>
        <v>0.30000000000000043</v>
      </c>
      <c r="DA69" s="9">
        <f t="shared" si="68"/>
        <v>0.29999999999999982</v>
      </c>
      <c r="DB69" s="9">
        <f t="shared" si="68"/>
        <v>0.30000000000000032</v>
      </c>
      <c r="DC69" s="9">
        <f t="shared" si="68"/>
        <v>0.30000000000000093</v>
      </c>
      <c r="DD69" s="9">
        <f t="shared" si="68"/>
        <v>0.29999999999999966</v>
      </c>
      <c r="DE69" s="9">
        <f t="shared" si="68"/>
        <v>0.30000000000000115</v>
      </c>
      <c r="DF69" s="9">
        <f t="shared" si="68"/>
        <v>0.30000000000000032</v>
      </c>
      <c r="DG69" s="9">
        <f t="shared" si="68"/>
        <v>0.30000000000000032</v>
      </c>
      <c r="DH69" s="9">
        <f t="shared" si="68"/>
        <v>0.30000000000000099</v>
      </c>
      <c r="DI69" s="9">
        <f t="shared" si="68"/>
        <v>0.30000000000000115</v>
      </c>
      <c r="DJ69" s="9">
        <f t="shared" si="68"/>
        <v>0.30000000000000027</v>
      </c>
    </row>
    <row r="70" spans="1:114" x14ac:dyDescent="0.3">
      <c r="A70" t="s">
        <v>740</v>
      </c>
      <c r="B70" t="s">
        <v>686</v>
      </c>
      <c r="C70" t="s">
        <v>721</v>
      </c>
      <c r="D70">
        <v>0.75024175699999995</v>
      </c>
      <c r="E70">
        <v>0.74729570450000005</v>
      </c>
      <c r="F70">
        <v>0.70939800875676595</v>
      </c>
      <c r="G70">
        <v>0.75366395139457398</v>
      </c>
      <c r="H70">
        <v>0.71826106341720297</v>
      </c>
      <c r="I70">
        <v>0.72487646280752605</v>
      </c>
      <c r="J70">
        <v>0.71809304107749705</v>
      </c>
      <c r="K70">
        <v>0.71125396380503503</v>
      </c>
      <c r="L70">
        <v>0.70474129685747999</v>
      </c>
      <c r="M70">
        <v>0.69966368021927094</v>
      </c>
      <c r="N70">
        <v>0.69253563167519405</v>
      </c>
      <c r="O70">
        <v>0.68341575481764705</v>
      </c>
      <c r="P70">
        <v>0.67668247284676297</v>
      </c>
      <c r="Q70">
        <v>0.67154533081974499</v>
      </c>
      <c r="R70">
        <v>0.66873295345499195</v>
      </c>
      <c r="S70">
        <v>0.66281121217365002</v>
      </c>
      <c r="T70">
        <v>0.65716063414520098</v>
      </c>
      <c r="U70">
        <v>0.65024142555272801</v>
      </c>
      <c r="V70">
        <v>0.64543849763583705</v>
      </c>
      <c r="W70">
        <v>0.64097468842397498</v>
      </c>
      <c r="X70">
        <v>0.63783407000699799</v>
      </c>
      <c r="Y70">
        <v>0.635268371681176</v>
      </c>
      <c r="Z70">
        <v>0.63242166570115299</v>
      </c>
      <c r="AA70">
        <v>0.63014623441234796</v>
      </c>
      <c r="AB70">
        <v>0.628793230732828</v>
      </c>
      <c r="AC70">
        <v>0.62543252544141104</v>
      </c>
      <c r="AD70">
        <v>0.62209486850431805</v>
      </c>
      <c r="AE70">
        <v>0.61964827941292799</v>
      </c>
      <c r="AF70">
        <v>0.61770427790966598</v>
      </c>
      <c r="AG70">
        <v>0.61624010792703998</v>
      </c>
      <c r="AH70">
        <v>0.61507252580834204</v>
      </c>
      <c r="AI70">
        <v>0.61437733265866801</v>
      </c>
      <c r="AJ70">
        <v>0.61419676968756098</v>
      </c>
      <c r="AK70">
        <v>0.61388672868334304</v>
      </c>
      <c r="AL70">
        <v>0.61425933864045001</v>
      </c>
      <c r="AM70">
        <v>0.61511371500160505</v>
      </c>
      <c r="AO70" t="str">
        <f t="shared" si="64"/>
        <v>Baseline uncompeted_Prospective Com. Comfort Ctl. 2030</v>
      </c>
      <c r="AP70" s="111"/>
      <c r="AQ70" s="111"/>
      <c r="AR70" s="111"/>
      <c r="AS70" s="111"/>
      <c r="AT70" s="111"/>
      <c r="AU70" s="209"/>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row>
    <row r="71" spans="1:114" x14ac:dyDescent="0.3">
      <c r="A71" t="s">
        <v>740</v>
      </c>
      <c r="B71" t="s">
        <v>685</v>
      </c>
      <c r="C71" t="s">
        <v>721</v>
      </c>
      <c r="D71">
        <v>0.75024175699999995</v>
      </c>
      <c r="E71">
        <v>0.74729570450000005</v>
      </c>
      <c r="F71">
        <v>0.70939800875676595</v>
      </c>
      <c r="G71">
        <v>0.75366395139457398</v>
      </c>
      <c r="H71">
        <v>0.71826106341720297</v>
      </c>
      <c r="I71">
        <v>0.72487646280752605</v>
      </c>
      <c r="J71">
        <v>0.71809304107749705</v>
      </c>
      <c r="K71">
        <v>0.71125396380503503</v>
      </c>
      <c r="L71">
        <v>0.70474129685747999</v>
      </c>
      <c r="M71">
        <v>0.69966368021927094</v>
      </c>
      <c r="N71">
        <v>0.69253563167519405</v>
      </c>
      <c r="O71">
        <v>0.68341575481764705</v>
      </c>
      <c r="P71">
        <v>0.67668247284676297</v>
      </c>
      <c r="Q71">
        <v>0.67154533081974499</v>
      </c>
      <c r="R71">
        <v>0.66873295345499195</v>
      </c>
      <c r="S71">
        <v>0.37584992855816501</v>
      </c>
      <c r="T71">
        <v>0.37294111830444898</v>
      </c>
      <c r="U71">
        <v>0.36927474616011502</v>
      </c>
      <c r="V71">
        <v>0.36675372697654701</v>
      </c>
      <c r="W71">
        <v>0.36440180157906299</v>
      </c>
      <c r="X71">
        <v>0.36277100048174798</v>
      </c>
      <c r="Y71">
        <v>0.36144287488431498</v>
      </c>
      <c r="Z71">
        <v>0.35994706525346598</v>
      </c>
      <c r="AA71">
        <v>0.35876376360491202</v>
      </c>
      <c r="AB71">
        <v>0.35808587464554897</v>
      </c>
      <c r="AC71">
        <v>0.35661149650317098</v>
      </c>
      <c r="AD71">
        <v>0.35509877522502098</v>
      </c>
      <c r="AE71">
        <v>0.35404341207832402</v>
      </c>
      <c r="AF71">
        <v>0.35323426806013197</v>
      </c>
      <c r="AG71">
        <v>0.35265970558652598</v>
      </c>
      <c r="AH71">
        <v>0.35222776418046198</v>
      </c>
      <c r="AI71">
        <v>0.35206292282760798</v>
      </c>
      <c r="AJ71">
        <v>0.35216388734850002</v>
      </c>
      <c r="AK71">
        <v>0.35218210050181098</v>
      </c>
      <c r="AL71">
        <v>0.35257911169671802</v>
      </c>
      <c r="AM71">
        <v>0.35324160408130501</v>
      </c>
      <c r="AO71" t="str">
        <f t="shared" si="64"/>
        <v>Efficient uncompeted_Prospective Com. Comfort Ctl. 2030</v>
      </c>
      <c r="AP71" s="111">
        <f t="shared" ref="AP71:BY71" si="69">(D70-D71)*293071083333.33</f>
        <v>0</v>
      </c>
      <c r="AQ71" s="111">
        <f t="shared" si="69"/>
        <v>0</v>
      </c>
      <c r="AR71" s="111">
        <f t="shared" si="69"/>
        <v>0</v>
      </c>
      <c r="AS71" s="111">
        <f t="shared" si="69"/>
        <v>0</v>
      </c>
      <c r="AT71" s="111">
        <f t="shared" si="69"/>
        <v>0</v>
      </c>
      <c r="AU71" s="209">
        <f t="shared" si="69"/>
        <v>0</v>
      </c>
      <c r="AV71" s="111">
        <f t="shared" si="69"/>
        <v>0</v>
      </c>
      <c r="AW71" s="111">
        <f t="shared" si="69"/>
        <v>0</v>
      </c>
      <c r="AX71" s="111">
        <f t="shared" si="69"/>
        <v>0</v>
      </c>
      <c r="AY71" s="111">
        <f t="shared" si="69"/>
        <v>0</v>
      </c>
      <c r="AZ71" s="111">
        <f t="shared" si="69"/>
        <v>0</v>
      </c>
      <c r="BA71" s="111">
        <f t="shared" si="69"/>
        <v>0</v>
      </c>
      <c r="BB71" s="111">
        <f t="shared" si="69"/>
        <v>0</v>
      </c>
      <c r="BC71" s="111">
        <f t="shared" si="69"/>
        <v>0</v>
      </c>
      <c r="BD71" s="111">
        <f t="shared" si="69"/>
        <v>0</v>
      </c>
      <c r="BE71" s="111">
        <f t="shared" si="69"/>
        <v>84100054263.913162</v>
      </c>
      <c r="BF71" s="111">
        <f t="shared" si="69"/>
        <v>83296521411.923737</v>
      </c>
      <c r="BG71" s="111">
        <f t="shared" si="69"/>
        <v>82343209110.161499</v>
      </c>
      <c r="BH71" s="111">
        <f t="shared" si="69"/>
        <v>81674447645.618759</v>
      </c>
      <c r="BI71" s="111">
        <f t="shared" si="69"/>
        <v>81055515568.264862</v>
      </c>
      <c r="BJ71" s="111">
        <f t="shared" si="69"/>
        <v>80613031770.756088</v>
      </c>
      <c r="BK71" s="111">
        <f t="shared" si="69"/>
        <v>80250334990.54335</v>
      </c>
      <c r="BL71" s="111">
        <f t="shared" si="69"/>
        <v>79854426334.019882</v>
      </c>
      <c r="BM71" s="111">
        <f t="shared" si="69"/>
        <v>79534354717.21106</v>
      </c>
      <c r="BN71" s="111">
        <f t="shared" si="69"/>
        <v>79336498114.8004</v>
      </c>
      <c r="BO71" s="111">
        <f t="shared" si="69"/>
        <v>78783670173.71048</v>
      </c>
      <c r="BP71" s="111">
        <f t="shared" si="69"/>
        <v>78248834303.130432</v>
      </c>
      <c r="BQ71" s="111">
        <f t="shared" si="69"/>
        <v>77841106208.357788</v>
      </c>
      <c r="BR71" s="111">
        <f t="shared" si="69"/>
        <v>77508512295.779388</v>
      </c>
      <c r="BS71" s="111">
        <f t="shared" si="69"/>
        <v>77247794059.369431</v>
      </c>
      <c r="BT71" s="111">
        <f t="shared" si="69"/>
        <v>77032199038.773697</v>
      </c>
      <c r="BU71" s="111">
        <f t="shared" si="69"/>
        <v>76876768263.131882</v>
      </c>
      <c r="BV71" s="111">
        <f t="shared" si="69"/>
        <v>76794260696.063599</v>
      </c>
      <c r="BW71" s="111">
        <f t="shared" si="69"/>
        <v>76698058894.507935</v>
      </c>
      <c r="BX71" s="111">
        <f t="shared" si="69"/>
        <v>76690907597.311188</v>
      </c>
      <c r="BY71" s="111">
        <f t="shared" si="69"/>
        <v>76747143242.198303</v>
      </c>
      <c r="CA71" s="9">
        <f t="shared" ref="CA71:DJ71" si="70">(D70-D71)/D70</f>
        <v>0</v>
      </c>
      <c r="CB71" s="9">
        <f t="shared" si="70"/>
        <v>0</v>
      </c>
      <c r="CC71" s="9">
        <f t="shared" si="70"/>
        <v>0</v>
      </c>
      <c r="CD71" s="9">
        <f t="shared" si="70"/>
        <v>0</v>
      </c>
      <c r="CE71" s="9">
        <f t="shared" si="70"/>
        <v>0</v>
      </c>
      <c r="CF71" s="9">
        <f t="shared" si="70"/>
        <v>0</v>
      </c>
      <c r="CG71" s="9">
        <f t="shared" si="70"/>
        <v>0</v>
      </c>
      <c r="CH71" s="9">
        <f t="shared" si="70"/>
        <v>0</v>
      </c>
      <c r="CI71" s="9">
        <f t="shared" si="70"/>
        <v>0</v>
      </c>
      <c r="CJ71" s="9">
        <f t="shared" si="70"/>
        <v>0</v>
      </c>
      <c r="CK71" s="9">
        <f t="shared" si="70"/>
        <v>0</v>
      </c>
      <c r="CL71" s="9">
        <f t="shared" si="70"/>
        <v>0</v>
      </c>
      <c r="CM71" s="9">
        <f t="shared" si="70"/>
        <v>0</v>
      </c>
      <c r="CN71" s="9">
        <f t="shared" si="70"/>
        <v>0</v>
      </c>
      <c r="CO71" s="9">
        <f t="shared" si="70"/>
        <v>0</v>
      </c>
      <c r="CP71" s="9">
        <f t="shared" si="70"/>
        <v>0.43294572925888281</v>
      </c>
      <c r="CQ71" s="9">
        <f t="shared" si="70"/>
        <v>0.43249625901656358</v>
      </c>
      <c r="CR71" s="9">
        <f t="shared" si="70"/>
        <v>0.43209593906414295</v>
      </c>
      <c r="CS71" s="9">
        <f t="shared" si="70"/>
        <v>0.43177587280597385</v>
      </c>
      <c r="CT71" s="9">
        <f t="shared" si="70"/>
        <v>0.4314880007585758</v>
      </c>
      <c r="CU71" s="9">
        <f t="shared" si="70"/>
        <v>0.4312454954346232</v>
      </c>
      <c r="CV71" s="9">
        <f t="shared" si="70"/>
        <v>0.43103908364304122</v>
      </c>
      <c r="CW71" s="9">
        <f t="shared" si="70"/>
        <v>0.43084324150343584</v>
      </c>
      <c r="CX71" s="9">
        <f t="shared" si="70"/>
        <v>0.43066586133061258</v>
      </c>
      <c r="CY71" s="9">
        <f t="shared" si="70"/>
        <v>0.43051887783808157</v>
      </c>
      <c r="CZ71" s="9">
        <f t="shared" si="70"/>
        <v>0.42981619599734511</v>
      </c>
      <c r="DA71" s="9">
        <f t="shared" si="70"/>
        <v>0.4291887086630804</v>
      </c>
      <c r="DB71" s="9">
        <f t="shared" si="70"/>
        <v>0.42863810997142671</v>
      </c>
      <c r="DC71" s="9">
        <f t="shared" si="70"/>
        <v>0.42814987576985908</v>
      </c>
      <c r="DD71" s="9">
        <f t="shared" si="70"/>
        <v>0.4277235430637058</v>
      </c>
      <c r="DE71" s="9">
        <f t="shared" si="70"/>
        <v>0.42733946095615899</v>
      </c>
      <c r="DF71" s="9">
        <f t="shared" si="70"/>
        <v>0.42695977844090655</v>
      </c>
      <c r="DG71" s="9">
        <f t="shared" si="70"/>
        <v>0.42662693011615133</v>
      </c>
      <c r="DH71" s="9">
        <f t="shared" si="70"/>
        <v>0.426307681781675</v>
      </c>
      <c r="DI71" s="9">
        <f t="shared" si="70"/>
        <v>0.42600935872283685</v>
      </c>
      <c r="DJ71" s="9">
        <f t="shared" si="70"/>
        <v>0.42572959199847582</v>
      </c>
    </row>
    <row r="72" spans="1:114" x14ac:dyDescent="0.3">
      <c r="A72" t="s">
        <v>739</v>
      </c>
      <c r="B72" t="s">
        <v>686</v>
      </c>
      <c r="C72" t="s">
        <v>721</v>
      </c>
      <c r="D72">
        <v>0.75024175699999995</v>
      </c>
      <c r="E72">
        <v>0.74729570450000005</v>
      </c>
      <c r="F72">
        <v>0.70939800875676595</v>
      </c>
      <c r="G72">
        <v>0.75366395139457398</v>
      </c>
      <c r="H72">
        <v>0.71826106341720297</v>
      </c>
      <c r="I72">
        <v>0.72487646280752605</v>
      </c>
      <c r="J72">
        <v>0.71809304107749705</v>
      </c>
      <c r="K72">
        <v>0.71125396380503503</v>
      </c>
      <c r="L72">
        <v>0.70474129685747999</v>
      </c>
      <c r="M72">
        <v>0.69966368021927094</v>
      </c>
      <c r="N72">
        <v>0.69253563167519405</v>
      </c>
      <c r="O72">
        <v>0.68341575481764705</v>
      </c>
      <c r="P72">
        <v>0.67668247284676297</v>
      </c>
      <c r="Q72">
        <v>0.67154533081974499</v>
      </c>
      <c r="R72">
        <v>0.66873295345499195</v>
      </c>
      <c r="S72">
        <v>0.66281121217365002</v>
      </c>
      <c r="T72">
        <v>0.65716063414520098</v>
      </c>
      <c r="U72">
        <v>0.65024142555272801</v>
      </c>
      <c r="V72">
        <v>0.64543849763583705</v>
      </c>
      <c r="W72">
        <v>0.64097468842397498</v>
      </c>
      <c r="X72">
        <v>0.63783407000699799</v>
      </c>
      <c r="Y72">
        <v>0.635268371681176</v>
      </c>
      <c r="Z72">
        <v>0.63242166570115299</v>
      </c>
      <c r="AA72">
        <v>0.63014623441234796</v>
      </c>
      <c r="AB72">
        <v>0.628793230732828</v>
      </c>
      <c r="AC72">
        <v>0.62543252544141104</v>
      </c>
      <c r="AD72">
        <v>0.62209486850431805</v>
      </c>
      <c r="AE72">
        <v>0.61964827941292799</v>
      </c>
      <c r="AF72">
        <v>0.61770427790966598</v>
      </c>
      <c r="AG72">
        <v>0.61624010792703998</v>
      </c>
      <c r="AH72">
        <v>0.61507252580834204</v>
      </c>
      <c r="AI72">
        <v>0.61437733265866801</v>
      </c>
      <c r="AJ72">
        <v>0.61419676968756098</v>
      </c>
      <c r="AK72">
        <v>0.61388672868334304</v>
      </c>
      <c r="AL72">
        <v>0.61425933864045001</v>
      </c>
      <c r="AM72">
        <v>0.61511371500160505</v>
      </c>
      <c r="AO72" t="str">
        <f t="shared" si="64"/>
        <v>Baseline uncompeted_Prospective Com. Occupancy Ctl. 2030</v>
      </c>
      <c r="AP72" s="111"/>
      <c r="AQ72" s="111"/>
      <c r="AR72" s="111"/>
      <c r="AS72" s="111"/>
      <c r="AT72" s="111"/>
      <c r="AU72" s="209"/>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row>
    <row r="73" spans="1:114" x14ac:dyDescent="0.3">
      <c r="A73" t="s">
        <v>739</v>
      </c>
      <c r="B73" t="s">
        <v>685</v>
      </c>
      <c r="C73" t="s">
        <v>721</v>
      </c>
      <c r="D73">
        <v>0.75024175699999995</v>
      </c>
      <c r="E73">
        <v>0.74729570450000005</v>
      </c>
      <c r="F73">
        <v>0.70939800875676595</v>
      </c>
      <c r="G73">
        <v>0.75366395139457398</v>
      </c>
      <c r="H73">
        <v>0.71826106341720297</v>
      </c>
      <c r="I73">
        <v>0.72487646280752605</v>
      </c>
      <c r="J73">
        <v>0.71809304107749705</v>
      </c>
      <c r="K73">
        <v>0.71125396380503503</v>
      </c>
      <c r="L73">
        <v>0.70474129685747999</v>
      </c>
      <c r="M73">
        <v>0.69966368021927094</v>
      </c>
      <c r="N73">
        <v>0.69253563167519405</v>
      </c>
      <c r="O73">
        <v>0.68341575481764705</v>
      </c>
      <c r="P73">
        <v>0.67668247284676297</v>
      </c>
      <c r="Q73">
        <v>0.67154533081974499</v>
      </c>
      <c r="R73">
        <v>0.66873295345499195</v>
      </c>
      <c r="S73">
        <v>0.453049449148543</v>
      </c>
      <c r="T73">
        <v>0.44933481281030502</v>
      </c>
      <c r="U73">
        <v>0.44473394330114902</v>
      </c>
      <c r="V73">
        <v>0.44155226254260799</v>
      </c>
      <c r="W73">
        <v>0.43859077615912201</v>
      </c>
      <c r="X73">
        <v>0.436519128243673</v>
      </c>
      <c r="Y73">
        <v>0.434828786114628</v>
      </c>
      <c r="Z73">
        <v>0.43294219890719499</v>
      </c>
      <c r="AA73">
        <v>0.43144037556739501</v>
      </c>
      <c r="AB73">
        <v>0.43056022961590501</v>
      </c>
      <c r="AC73">
        <v>0.42847875842814998</v>
      </c>
      <c r="AD73">
        <v>0.42638733501423698</v>
      </c>
      <c r="AE73">
        <v>0.42488101780433302</v>
      </c>
      <c r="AF73">
        <v>0.42369884519393203</v>
      </c>
      <c r="AG73">
        <v>0.42282589596407899</v>
      </c>
      <c r="AH73">
        <v>0.42214289241356701</v>
      </c>
      <c r="AI73">
        <v>0.421782394477272</v>
      </c>
      <c r="AJ73">
        <v>0.421760651549274</v>
      </c>
      <c r="AK73">
        <v>0.42164574172424302</v>
      </c>
      <c r="AL73">
        <v>0.421993291304539</v>
      </c>
      <c r="AM73">
        <v>0.42266628804129402</v>
      </c>
      <c r="AO73" t="str">
        <f t="shared" si="64"/>
        <v>Efficient uncompeted_Prospective Com. Occupancy Ctl. 2030</v>
      </c>
      <c r="AP73" s="111">
        <f t="shared" ref="AP73:BY73" si="71">(D72-D73)*293071083333.33</f>
        <v>0</v>
      </c>
      <c r="AQ73" s="111">
        <f t="shared" si="71"/>
        <v>0</v>
      </c>
      <c r="AR73" s="111">
        <f t="shared" si="71"/>
        <v>0</v>
      </c>
      <c r="AS73" s="111">
        <f t="shared" si="71"/>
        <v>0</v>
      </c>
      <c r="AT73" s="111">
        <f t="shared" si="71"/>
        <v>0</v>
      </c>
      <c r="AU73" s="209">
        <f t="shared" si="71"/>
        <v>0</v>
      </c>
      <c r="AV73" s="111">
        <f t="shared" si="71"/>
        <v>0</v>
      </c>
      <c r="AW73" s="111">
        <f t="shared" si="71"/>
        <v>0</v>
      </c>
      <c r="AX73" s="111">
        <f t="shared" si="71"/>
        <v>0</v>
      </c>
      <c r="AY73" s="111">
        <f t="shared" si="71"/>
        <v>0</v>
      </c>
      <c r="AZ73" s="111">
        <f t="shared" si="71"/>
        <v>0</v>
      </c>
      <c r="BA73" s="111">
        <f t="shared" si="71"/>
        <v>0</v>
      </c>
      <c r="BB73" s="111">
        <f t="shared" si="71"/>
        <v>0</v>
      </c>
      <c r="BC73" s="111">
        <f t="shared" si="71"/>
        <v>0</v>
      </c>
      <c r="BD73" s="111">
        <f t="shared" si="71"/>
        <v>0</v>
      </c>
      <c r="BE73" s="111">
        <f t="shared" si="71"/>
        <v>61475107131.677361</v>
      </c>
      <c r="BF73" s="111">
        <f t="shared" si="71"/>
        <v>60907738603.25705</v>
      </c>
      <c r="BG73" s="111">
        <f t="shared" si="71"/>
        <v>60228300456.575348</v>
      </c>
      <c r="BH73" s="111">
        <f t="shared" si="71"/>
        <v>59753159795.526649</v>
      </c>
      <c r="BI73" s="111">
        <f t="shared" si="71"/>
        <v>59312872416.698074</v>
      </c>
      <c r="BJ73" s="111">
        <f t="shared" si="71"/>
        <v>58999588073.763893</v>
      </c>
      <c r="BK73" s="111">
        <f t="shared" si="71"/>
        <v>58743046484.871925</v>
      </c>
      <c r="BL73" s="111">
        <f t="shared" si="71"/>
        <v>58461663436.060303</v>
      </c>
      <c r="BM73" s="111">
        <f t="shared" si="71"/>
        <v>58234941316.370117</v>
      </c>
      <c r="BN73" s="111">
        <f t="shared" si="71"/>
        <v>58096360389.753838</v>
      </c>
      <c r="BO73" s="111">
        <f t="shared" si="71"/>
        <v>57721453865.1567</v>
      </c>
      <c r="BP73" s="111">
        <f t="shared" si="71"/>
        <v>57356218856.43203</v>
      </c>
      <c r="BQ73" s="111">
        <f t="shared" si="71"/>
        <v>57080652357.497025</v>
      </c>
      <c r="BR73" s="111">
        <f t="shared" si="71"/>
        <v>56857382338.551613</v>
      </c>
      <c r="BS73" s="111">
        <f t="shared" si="71"/>
        <v>56684112632.047295</v>
      </c>
      <c r="BT73" s="111">
        <f t="shared" si="71"/>
        <v>56542096666.108925</v>
      </c>
      <c r="BU73" s="111">
        <f t="shared" si="71"/>
        <v>56444007177.337448</v>
      </c>
      <c r="BV73" s="111">
        <f t="shared" si="71"/>
        <v>56397461615.248444</v>
      </c>
      <c r="BW73" s="111">
        <f t="shared" si="71"/>
        <v>56340274309.172012</v>
      </c>
      <c r="BX73" s="111">
        <f t="shared" si="71"/>
        <v>56347618780.952751</v>
      </c>
      <c r="BY73" s="111">
        <f t="shared" si="71"/>
        <v>56400775903.970253</v>
      </c>
      <c r="CA73" s="9">
        <f t="shared" ref="CA73:DJ73" si="72">(D72-D73)/D72</f>
        <v>0</v>
      </c>
      <c r="CB73" s="9">
        <f t="shared" si="72"/>
        <v>0</v>
      </c>
      <c r="CC73" s="9">
        <f t="shared" si="72"/>
        <v>0</v>
      </c>
      <c r="CD73" s="9">
        <f t="shared" si="72"/>
        <v>0</v>
      </c>
      <c r="CE73" s="9">
        <f t="shared" si="72"/>
        <v>0</v>
      </c>
      <c r="CF73" s="9">
        <f t="shared" si="72"/>
        <v>0</v>
      </c>
      <c r="CG73" s="9">
        <f t="shared" si="72"/>
        <v>0</v>
      </c>
      <c r="CH73" s="9">
        <f t="shared" si="72"/>
        <v>0</v>
      </c>
      <c r="CI73" s="9">
        <f t="shared" si="72"/>
        <v>0</v>
      </c>
      <c r="CJ73" s="9">
        <f t="shared" si="72"/>
        <v>0</v>
      </c>
      <c r="CK73" s="9">
        <f t="shared" si="72"/>
        <v>0</v>
      </c>
      <c r="CL73" s="9">
        <f t="shared" si="72"/>
        <v>0</v>
      </c>
      <c r="CM73" s="9">
        <f t="shared" si="72"/>
        <v>0</v>
      </c>
      <c r="CN73" s="9">
        <f t="shared" si="72"/>
        <v>0</v>
      </c>
      <c r="CO73" s="9">
        <f t="shared" si="72"/>
        <v>0</v>
      </c>
      <c r="CP73" s="9">
        <f t="shared" si="72"/>
        <v>0.31647286462944069</v>
      </c>
      <c r="CQ73" s="9">
        <f t="shared" si="72"/>
        <v>0.31624812950828157</v>
      </c>
      <c r="CR73" s="9">
        <f t="shared" si="72"/>
        <v>0.31604796953207098</v>
      </c>
      <c r="CS73" s="9">
        <f t="shared" si="72"/>
        <v>0.31588793640298746</v>
      </c>
      <c r="CT73" s="9">
        <f t="shared" si="72"/>
        <v>0.31574400037928707</v>
      </c>
      <c r="CU73" s="9">
        <f t="shared" si="72"/>
        <v>0.31562274771731191</v>
      </c>
      <c r="CV73" s="9">
        <f t="shared" si="72"/>
        <v>0.31551954182152042</v>
      </c>
      <c r="CW73" s="9">
        <f t="shared" si="72"/>
        <v>0.31542162075171665</v>
      </c>
      <c r="CX73" s="9">
        <f t="shared" si="72"/>
        <v>0.3153329306653066</v>
      </c>
      <c r="CY73" s="9">
        <f t="shared" si="72"/>
        <v>0.31525943891904185</v>
      </c>
      <c r="CZ73" s="9">
        <f t="shared" si="72"/>
        <v>0.31490809799867242</v>
      </c>
      <c r="DA73" s="9">
        <f t="shared" si="72"/>
        <v>0.31459435433154137</v>
      </c>
      <c r="DB73" s="9">
        <f t="shared" si="72"/>
        <v>0.31431905498571366</v>
      </c>
      <c r="DC73" s="9">
        <f t="shared" si="72"/>
        <v>0.31407493788493013</v>
      </c>
      <c r="DD73" s="9">
        <f t="shared" si="72"/>
        <v>0.31386177153185291</v>
      </c>
      <c r="DE73" s="9">
        <f t="shared" si="72"/>
        <v>0.31366973047808078</v>
      </c>
      <c r="DF73" s="9">
        <f t="shared" si="72"/>
        <v>0.31347988922045195</v>
      </c>
      <c r="DG73" s="9">
        <f t="shared" si="72"/>
        <v>0.31331346505807633</v>
      </c>
      <c r="DH73" s="9">
        <f t="shared" si="72"/>
        <v>0.31315384089083698</v>
      </c>
      <c r="DI73" s="9">
        <f t="shared" si="72"/>
        <v>0.31300467936141846</v>
      </c>
      <c r="DJ73" s="9">
        <f t="shared" si="72"/>
        <v>0.31286479599923872</v>
      </c>
    </row>
    <row r="74" spans="1:114" x14ac:dyDescent="0.3">
      <c r="A74" t="s">
        <v>738</v>
      </c>
      <c r="B74" t="s">
        <v>686</v>
      </c>
      <c r="C74" t="s">
        <v>21</v>
      </c>
      <c r="D74">
        <v>0.31527574079999998</v>
      </c>
      <c r="E74">
        <v>0.31965736500000003</v>
      </c>
      <c r="F74">
        <v>0.32138821931356498</v>
      </c>
      <c r="G74">
        <v>0.32241427327970101</v>
      </c>
      <c r="H74">
        <v>0.32409609933667799</v>
      </c>
      <c r="I74">
        <v>0.324008296936801</v>
      </c>
      <c r="J74">
        <v>0.32056900830687601</v>
      </c>
      <c r="K74">
        <v>0.31755220827648201</v>
      </c>
      <c r="L74">
        <v>0.315176562425248</v>
      </c>
      <c r="M74">
        <v>0.31422131168942702</v>
      </c>
      <c r="N74">
        <v>0.31248522179280502</v>
      </c>
      <c r="O74">
        <v>0.31140056340873401</v>
      </c>
      <c r="P74">
        <v>0.31118868331069299</v>
      </c>
      <c r="Q74">
        <v>0.31166048200350399</v>
      </c>
      <c r="R74">
        <v>0.31326553576524602</v>
      </c>
      <c r="S74">
        <v>0.31414739344350401</v>
      </c>
      <c r="T74">
        <v>0.31493078304385802</v>
      </c>
      <c r="U74">
        <v>0.31483376223634701</v>
      </c>
      <c r="V74">
        <v>0.31592045823491999</v>
      </c>
      <c r="W74">
        <v>0.31679564778761099</v>
      </c>
      <c r="X74">
        <v>0.31826207703912801</v>
      </c>
      <c r="Y74">
        <v>0.32000624177417902</v>
      </c>
      <c r="Z74">
        <v>0.32132145541375201</v>
      </c>
      <c r="AA74">
        <v>0.32282029969276899</v>
      </c>
      <c r="AB74">
        <v>0.32466357646920102</v>
      </c>
      <c r="AC74">
        <v>0.32636712572155602</v>
      </c>
      <c r="AD74">
        <v>0.32794028942493603</v>
      </c>
      <c r="AE74">
        <v>0.3295927700556</v>
      </c>
      <c r="AF74">
        <v>0.33138198437482702</v>
      </c>
      <c r="AG74">
        <v>0.33329826977184202</v>
      </c>
      <c r="AH74">
        <v>0.33528239794617998</v>
      </c>
      <c r="AI74">
        <v>0.33741155207801399</v>
      </c>
      <c r="AJ74">
        <v>0.339850602290105</v>
      </c>
      <c r="AK74">
        <v>0.34212733082165198</v>
      </c>
      <c r="AL74">
        <v>0.34455583749290403</v>
      </c>
      <c r="AM74">
        <v>0.34683825747536001</v>
      </c>
      <c r="AO74" t="str">
        <f t="shared" si="64"/>
        <v>Baseline uncompeted_Prospective Commercial Adv Refrigerator</v>
      </c>
      <c r="AP74" s="111"/>
      <c r="AQ74" s="111"/>
      <c r="AR74" s="111"/>
      <c r="AS74" s="111"/>
      <c r="AT74" s="111"/>
      <c r="AU74" s="209"/>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row>
    <row r="75" spans="1:114" x14ac:dyDescent="0.3">
      <c r="A75" t="s">
        <v>738</v>
      </c>
      <c r="B75" t="s">
        <v>685</v>
      </c>
      <c r="C75" t="s">
        <v>21</v>
      </c>
      <c r="D75">
        <v>0.31527574079999998</v>
      </c>
      <c r="E75">
        <v>0.31965736500000003</v>
      </c>
      <c r="F75">
        <v>0.32138821931356498</v>
      </c>
      <c r="G75">
        <v>0.32241427327970101</v>
      </c>
      <c r="H75">
        <v>0.32409609933667799</v>
      </c>
      <c r="I75">
        <v>0.233285973794497</v>
      </c>
      <c r="J75">
        <v>0.23144504046271799</v>
      </c>
      <c r="K75">
        <v>0.23037392752310701</v>
      </c>
      <c r="L75">
        <v>0.23009831567022901</v>
      </c>
      <c r="M75">
        <v>0.23109317582504901</v>
      </c>
      <c r="N75">
        <v>0.23165855416490899</v>
      </c>
      <c r="O75">
        <v>0.23266284912820501</v>
      </c>
      <c r="P75">
        <v>0.23416847664991999</v>
      </c>
      <c r="Q75">
        <v>0.23605496616766999</v>
      </c>
      <c r="R75">
        <v>0.238685004357992</v>
      </c>
      <c r="S75">
        <v>0.24073789230886999</v>
      </c>
      <c r="T75">
        <v>0.24267754299595401</v>
      </c>
      <c r="U75">
        <v>0.243889722034767</v>
      </c>
      <c r="V75">
        <v>0.24593561636599701</v>
      </c>
      <c r="W75">
        <v>0.24770591511384299</v>
      </c>
      <c r="X75">
        <v>0.24984097683725001</v>
      </c>
      <c r="Y75">
        <v>0.25210818673820001</v>
      </c>
      <c r="Z75">
        <v>0.25395770633967302</v>
      </c>
      <c r="AA75">
        <v>0.25588027861893797</v>
      </c>
      <c r="AB75">
        <v>0.258009779220155</v>
      </c>
      <c r="AC75">
        <v>0.25997267463719897</v>
      </c>
      <c r="AD75">
        <v>0.26178526045723799</v>
      </c>
      <c r="AE75">
        <v>0.263617368716976</v>
      </c>
      <c r="AF75">
        <v>0.26552005189638</v>
      </c>
      <c r="AG75">
        <v>0.26748687911949698</v>
      </c>
      <c r="AH75">
        <v>0.26947334043986598</v>
      </c>
      <c r="AI75">
        <v>0.27154672480289999</v>
      </c>
      <c r="AJ75">
        <v>0.273840443157782</v>
      </c>
      <c r="AK75">
        <v>0.27597609311166998</v>
      </c>
      <c r="AL75">
        <v>0.27820787238116201</v>
      </c>
      <c r="AM75">
        <v>0.28030022413273498</v>
      </c>
      <c r="AO75" t="str">
        <f t="shared" si="64"/>
        <v>Efficient uncompeted_Prospective Commercial Adv Refrigerator</v>
      </c>
      <c r="AP75" s="111">
        <f t="shared" ref="AP75:BY75" si="73">(D74-D75)*293071083333.33</f>
        <v>0</v>
      </c>
      <c r="AQ75" s="111">
        <f t="shared" si="73"/>
        <v>0</v>
      </c>
      <c r="AR75" s="111">
        <f t="shared" si="73"/>
        <v>0</v>
      </c>
      <c r="AS75" s="111">
        <f t="shared" si="73"/>
        <v>0</v>
      </c>
      <c r="AT75" s="111">
        <f t="shared" si="73"/>
        <v>0</v>
      </c>
      <c r="AU75" s="209">
        <f t="shared" si="73"/>
        <v>26588089525.83147</v>
      </c>
      <c r="AV75" s="111">
        <f t="shared" si="73"/>
        <v>26119657807.052261</v>
      </c>
      <c r="AW75" s="111">
        <f t="shared" si="73"/>
        <v>25549433183.528805</v>
      </c>
      <c r="AX75" s="111">
        <f t="shared" si="73"/>
        <v>24933973944.593784</v>
      </c>
      <c r="AY75" s="111">
        <f t="shared" si="73"/>
        <v>24362452833.253506</v>
      </c>
      <c r="AZ75" s="111">
        <f t="shared" si="73"/>
        <v>23687959043.930485</v>
      </c>
      <c r="BA75" s="111">
        <f t="shared" si="73"/>
        <v>23075747223.384846</v>
      </c>
      <c r="BB75" s="111">
        <f t="shared" si="73"/>
        <v>22572395404.629704</v>
      </c>
      <c r="BC75" s="111">
        <f t="shared" si="73"/>
        <v>22157790431.983109</v>
      </c>
      <c r="BD75" s="111">
        <f t="shared" si="73"/>
        <v>21857397135.099377</v>
      </c>
      <c r="BE75" s="111">
        <f t="shared" si="73"/>
        <v>21514202024.486511</v>
      </c>
      <c r="BF75" s="111">
        <f t="shared" si="73"/>
        <v>21175335335.182373</v>
      </c>
      <c r="BG75" s="111">
        <f t="shared" si="73"/>
        <v>20791646717.920372</v>
      </c>
      <c r="BH75" s="111">
        <f t="shared" si="73"/>
        <v>20510533423.43705</v>
      </c>
      <c r="BI75" s="111">
        <f t="shared" si="73"/>
        <v>20248202801.911354</v>
      </c>
      <c r="BJ75" s="111">
        <f t="shared" si="73"/>
        <v>20052245959.022709</v>
      </c>
      <c r="BK75" s="111">
        <f t="shared" si="73"/>
        <v>19898956545.620434</v>
      </c>
      <c r="BL75" s="111">
        <f t="shared" si="73"/>
        <v>19742366918.534939</v>
      </c>
      <c r="BM75" s="111">
        <f t="shared" si="73"/>
        <v>19618184494.463596</v>
      </c>
      <c r="BN75" s="111">
        <f t="shared" si="73"/>
        <v>19534300568.058048</v>
      </c>
      <c r="BO75" s="111">
        <f t="shared" si="73"/>
        <v>19458293706.614307</v>
      </c>
      <c r="BP75" s="111">
        <f t="shared" si="73"/>
        <v>19388126007.511093</v>
      </c>
      <c r="BQ75" s="111">
        <f t="shared" si="73"/>
        <v>19335482343.66177</v>
      </c>
      <c r="BR75" s="111">
        <f t="shared" si="73"/>
        <v>19302227901.885101</v>
      </c>
      <c r="BS75" s="111">
        <f t="shared" si="73"/>
        <v>19287415554.155746</v>
      </c>
      <c r="BT75" s="111">
        <f t="shared" si="73"/>
        <v>19286731776.520855</v>
      </c>
      <c r="BU75" s="111">
        <f t="shared" si="73"/>
        <v>19303076283.080322</v>
      </c>
      <c r="BV75" s="111">
        <f t="shared" si="73"/>
        <v>19345668847.915409</v>
      </c>
      <c r="BW75" s="111">
        <f t="shared" si="73"/>
        <v>19387014899.505054</v>
      </c>
      <c r="BX75" s="111">
        <f t="shared" si="73"/>
        <v>19444670012.260216</v>
      </c>
      <c r="BY75" s="111">
        <f t="shared" si="73"/>
        <v>19500373514.592354</v>
      </c>
      <c r="CA75" s="9">
        <f t="shared" ref="CA75:DJ75" si="74">(D74-D75)/D74</f>
        <v>0</v>
      </c>
      <c r="CB75" s="9">
        <f t="shared" si="74"/>
        <v>0</v>
      </c>
      <c r="CC75" s="9">
        <f t="shared" si="74"/>
        <v>0</v>
      </c>
      <c r="CD75" s="9">
        <f t="shared" si="74"/>
        <v>0</v>
      </c>
      <c r="CE75" s="9">
        <f t="shared" si="74"/>
        <v>0</v>
      </c>
      <c r="CF75" s="9">
        <f t="shared" si="74"/>
        <v>0.27999999999999914</v>
      </c>
      <c r="CG75" s="9">
        <f t="shared" si="74"/>
        <v>0.27801804146594528</v>
      </c>
      <c r="CH75" s="9">
        <f t="shared" si="74"/>
        <v>0.27453211938451333</v>
      </c>
      <c r="CI75" s="9">
        <f t="shared" si="74"/>
        <v>0.26993836756245926</v>
      </c>
      <c r="CJ75" s="9">
        <f t="shared" si="74"/>
        <v>0.26455282557836485</v>
      </c>
      <c r="CK75" s="9">
        <f t="shared" si="74"/>
        <v>0.25865756839370979</v>
      </c>
      <c r="CL75" s="9">
        <f t="shared" si="74"/>
        <v>0.25285026275684835</v>
      </c>
      <c r="CM75" s="9">
        <f t="shared" si="74"/>
        <v>0.24750323771856278</v>
      </c>
      <c r="CN75" s="9">
        <f t="shared" si="74"/>
        <v>0.24258935669291548</v>
      </c>
      <c r="CO75" s="9">
        <f t="shared" si="74"/>
        <v>0.23807448599498335</v>
      </c>
      <c r="CP75" s="9">
        <f t="shared" si="74"/>
        <v>0.23367853010003062</v>
      </c>
      <c r="CQ75" s="9">
        <f t="shared" si="74"/>
        <v>0.22942577841887832</v>
      </c>
      <c r="CR75" s="9">
        <f t="shared" si="74"/>
        <v>0.22533809492871998</v>
      </c>
      <c r="CS75" s="9">
        <f t="shared" si="74"/>
        <v>0.22152678006335985</v>
      </c>
      <c r="CT75" s="9">
        <f t="shared" si="74"/>
        <v>0.21808927349938773</v>
      </c>
      <c r="CU75" s="9">
        <f t="shared" si="74"/>
        <v>0.21498351559323897</v>
      </c>
      <c r="CV75" s="9">
        <f t="shared" si="74"/>
        <v>0.21217728335403249</v>
      </c>
      <c r="CW75" s="9">
        <f t="shared" si="74"/>
        <v>0.20964597271395261</v>
      </c>
      <c r="CX75" s="9">
        <f t="shared" si="74"/>
        <v>0.20736001155298611</v>
      </c>
      <c r="CY75" s="9">
        <f t="shared" si="74"/>
        <v>0.20530112424043073</v>
      </c>
      <c r="CZ75" s="9">
        <f t="shared" si="74"/>
        <v>0.20343486169928235</v>
      </c>
      <c r="DA75" s="9">
        <f t="shared" si="74"/>
        <v>0.20172888510803308</v>
      </c>
      <c r="DB75" s="9">
        <f t="shared" si="74"/>
        <v>0.20017247747119701</v>
      </c>
      <c r="DC75" s="9">
        <f t="shared" si="74"/>
        <v>0.19874928506659678</v>
      </c>
      <c r="DD75" s="9">
        <f t="shared" si="74"/>
        <v>0.19745494237757658</v>
      </c>
      <c r="DE75" s="9">
        <f t="shared" si="74"/>
        <v>0.19627948830429734</v>
      </c>
      <c r="DF75" s="9">
        <f t="shared" si="74"/>
        <v>0.19520620106061215</v>
      </c>
      <c r="DG75" s="9">
        <f t="shared" si="74"/>
        <v>0.19423287376132137</v>
      </c>
      <c r="DH75" s="9">
        <f t="shared" si="74"/>
        <v>0.1933526840755849</v>
      </c>
      <c r="DI75" s="9">
        <f t="shared" si="74"/>
        <v>0.19256085049816757</v>
      </c>
      <c r="DJ75" s="9">
        <f t="shared" si="74"/>
        <v>0.19184167809790134</v>
      </c>
    </row>
    <row r="76" spans="1:114" x14ac:dyDescent="0.3">
      <c r="A76" t="s">
        <v>737</v>
      </c>
      <c r="B76" t="s">
        <v>686</v>
      </c>
      <c r="C76" t="s">
        <v>696</v>
      </c>
      <c r="D76">
        <v>3.5570502984524098E-2</v>
      </c>
      <c r="E76">
        <v>3.7730084134296703E-2</v>
      </c>
      <c r="F76">
        <v>3.6749395032653398E-2</v>
      </c>
      <c r="G76">
        <v>3.9653408900388203E-2</v>
      </c>
      <c r="H76">
        <v>3.6492650287710898E-2</v>
      </c>
      <c r="I76">
        <v>3.7103319696280002E-2</v>
      </c>
      <c r="J76">
        <v>3.6519574610597398E-2</v>
      </c>
      <c r="K76">
        <v>3.5937386235814599E-2</v>
      </c>
      <c r="L76">
        <v>3.5267857367428303E-2</v>
      </c>
      <c r="M76">
        <v>3.4695755661975497E-2</v>
      </c>
      <c r="N76">
        <v>3.3989800023821702E-2</v>
      </c>
      <c r="O76">
        <v>3.33747931183144E-2</v>
      </c>
      <c r="P76">
        <v>3.2855008914987702E-2</v>
      </c>
      <c r="Q76">
        <v>3.2419646495653397E-2</v>
      </c>
      <c r="R76">
        <v>3.2116070576789703E-2</v>
      </c>
      <c r="S76">
        <v>3.1808259504731602E-2</v>
      </c>
      <c r="T76">
        <v>3.1487371828956598E-2</v>
      </c>
      <c r="U76">
        <v>3.1065000798692E-2</v>
      </c>
      <c r="V76">
        <v>3.0781753020699999E-2</v>
      </c>
      <c r="W76">
        <v>3.0490559163228799E-2</v>
      </c>
      <c r="X76">
        <v>3.0268806118960701E-2</v>
      </c>
      <c r="Y76">
        <v>3.0074413481251599E-2</v>
      </c>
      <c r="Z76">
        <v>2.9838140602749801E-2</v>
      </c>
      <c r="AA76">
        <v>2.9616477856273402E-2</v>
      </c>
      <c r="AB76">
        <v>2.9435669774590899E-2</v>
      </c>
      <c r="AC76">
        <v>2.92795099677449E-2</v>
      </c>
      <c r="AD76">
        <v>2.9101032695295799E-2</v>
      </c>
      <c r="AE76">
        <v>2.89489732483958E-2</v>
      </c>
      <c r="AF76">
        <v>2.88148466981058E-2</v>
      </c>
      <c r="AG76">
        <v>2.86821273281768E-2</v>
      </c>
      <c r="AH76">
        <v>2.85547545686601E-2</v>
      </c>
      <c r="AI76">
        <v>2.8443202296008101E-2</v>
      </c>
      <c r="AJ76">
        <v>2.8351407975555298E-2</v>
      </c>
      <c r="AK76">
        <v>2.8239161049748201E-2</v>
      </c>
      <c r="AL76">
        <v>2.81581477538798E-2</v>
      </c>
      <c r="AM76">
        <v>2.8089437172343301E-2</v>
      </c>
      <c r="AO76" t="str">
        <f t="shared" si="64"/>
        <v>Baseline uncompeted_Prospective Commercial AVCT HVAC</v>
      </c>
      <c r="AP76" s="111"/>
      <c r="AQ76" s="111"/>
      <c r="AR76" s="111"/>
      <c r="AS76" s="111"/>
      <c r="AT76" s="111"/>
      <c r="AU76" s="209"/>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row>
    <row r="77" spans="1:114" x14ac:dyDescent="0.3">
      <c r="A77" t="s">
        <v>737</v>
      </c>
      <c r="B77" t="s">
        <v>685</v>
      </c>
      <c r="C77" t="s">
        <v>696</v>
      </c>
      <c r="D77">
        <v>3.5570502984524098E-2</v>
      </c>
      <c r="E77">
        <v>3.7730084134296703E-2</v>
      </c>
      <c r="F77">
        <v>3.6749395032653398E-2</v>
      </c>
      <c r="G77">
        <v>3.9653408900388203E-2</v>
      </c>
      <c r="H77">
        <v>3.6492650287710898E-2</v>
      </c>
      <c r="I77">
        <v>2.0269500178332001E-2</v>
      </c>
      <c r="J77">
        <v>1.9945525786851999E-2</v>
      </c>
      <c r="K77">
        <v>1.9622581181825201E-2</v>
      </c>
      <c r="L77">
        <v>1.9256432699532301E-2</v>
      </c>
      <c r="M77">
        <v>1.8946287123113501E-2</v>
      </c>
      <c r="N77">
        <v>1.8563765289590198E-2</v>
      </c>
      <c r="O77">
        <v>1.8232509139877999E-2</v>
      </c>
      <c r="P77">
        <v>1.7954187629844999E-2</v>
      </c>
      <c r="Q77">
        <v>1.7723196525026502E-2</v>
      </c>
      <c r="R77">
        <v>1.75652892752572E-2</v>
      </c>
      <c r="S77">
        <v>1.7405579303852201E-2</v>
      </c>
      <c r="T77">
        <v>1.72390980886028E-2</v>
      </c>
      <c r="U77">
        <v>1.7018131818781E-2</v>
      </c>
      <c r="V77">
        <v>1.68735437119025E-2</v>
      </c>
      <c r="W77">
        <v>1.6725302575851701E-2</v>
      </c>
      <c r="X77">
        <v>1.66156692811914E-2</v>
      </c>
      <c r="Y77">
        <v>1.65212145882737E-2</v>
      </c>
      <c r="Z77">
        <v>1.6403749022461899E-2</v>
      </c>
      <c r="AA77">
        <v>1.62949017375402E-2</v>
      </c>
      <c r="AB77">
        <v>1.62087450570681E-2</v>
      </c>
      <c r="AC77">
        <v>1.6136158837597701E-2</v>
      </c>
      <c r="AD77">
        <v>1.6051084068981598E-2</v>
      </c>
      <c r="AE77">
        <v>1.5980751819010899E-2</v>
      </c>
      <c r="AF77">
        <v>1.59201834675302E-2</v>
      </c>
      <c r="AG77">
        <v>1.58603387510379E-2</v>
      </c>
      <c r="AH77">
        <v>1.5802849880852201E-2</v>
      </c>
      <c r="AI77">
        <v>1.57543723959295E-2</v>
      </c>
      <c r="AJ77">
        <v>1.5716162603350899E-2</v>
      </c>
      <c r="AK77">
        <v>1.5666998257588501E-2</v>
      </c>
      <c r="AL77">
        <v>1.5634758152549201E-2</v>
      </c>
      <c r="AM77">
        <v>1.56091562535072E-2</v>
      </c>
      <c r="AO77" t="str">
        <f t="shared" si="64"/>
        <v>Efficient uncompeted_Prospective Commercial AVCT HVAC</v>
      </c>
      <c r="AP77" s="111">
        <f t="shared" ref="AP77:BY77" si="75">(D76-D77)*293071083333.33</f>
        <v>0</v>
      </c>
      <c r="AQ77" s="111">
        <f t="shared" si="75"/>
        <v>0</v>
      </c>
      <c r="AR77" s="111">
        <f t="shared" si="75"/>
        <v>0</v>
      </c>
      <c r="AS77" s="111">
        <f t="shared" si="75"/>
        <v>0</v>
      </c>
      <c r="AT77" s="111">
        <f t="shared" si="75"/>
        <v>0</v>
      </c>
      <c r="AU77" s="209">
        <f t="shared" si="75"/>
        <v>4933505722.7627754</v>
      </c>
      <c r="AV77" s="111">
        <f t="shared" si="75"/>
        <v>4857374443.9945679</v>
      </c>
      <c r="AW77" s="111">
        <f t="shared" si="75"/>
        <v>4781397591.5447607</v>
      </c>
      <c r="AX77" s="111">
        <f t="shared" si="75"/>
        <v>4692485573.1302853</v>
      </c>
      <c r="AY77" s="111">
        <f t="shared" si="75"/>
        <v>4615713806.6084833</v>
      </c>
      <c r="AZ77" s="111">
        <f t="shared" si="75"/>
        <v>4520924711.0988045</v>
      </c>
      <c r="BA77" s="111">
        <f t="shared" si="75"/>
        <v>4437765569.7012825</v>
      </c>
      <c r="BB77" s="111">
        <f t="shared" si="75"/>
        <v>4366999836.5931149</v>
      </c>
      <c r="BC77" s="111">
        <f t="shared" si="75"/>
        <v>4307104514.0457106</v>
      </c>
      <c r="BD77" s="111">
        <f t="shared" si="75"/>
        <v>4264413239.3864923</v>
      </c>
      <c r="BE77" s="111">
        <f t="shared" si="75"/>
        <v>4221009089.3752294</v>
      </c>
      <c r="BF77" s="111">
        <f t="shared" si="75"/>
        <v>4175757020.7153258</v>
      </c>
      <c r="BG77" s="111">
        <f t="shared" si="75"/>
        <v>4116731109.3838654</v>
      </c>
      <c r="BH77" s="111">
        <f t="shared" si="75"/>
        <v>4076093969.355988</v>
      </c>
      <c r="BI77" s="111">
        <f t="shared" si="75"/>
        <v>4034198660.4238634</v>
      </c>
      <c r="BJ77" s="111">
        <f t="shared" si="75"/>
        <v>4001339603.9432449</v>
      </c>
      <c r="BK77" s="111">
        <f t="shared" si="75"/>
        <v>3972050682.1971221</v>
      </c>
      <c r="BL77" s="111">
        <f t="shared" si="75"/>
        <v>3937231694.3591428</v>
      </c>
      <c r="BM77" s="111">
        <f t="shared" si="75"/>
        <v>3904168744.8245573</v>
      </c>
      <c r="BN77" s="111">
        <f t="shared" si="75"/>
        <v>3876429156.1328068</v>
      </c>
      <c r="BO77" s="111">
        <f t="shared" si="75"/>
        <v>3851936154.342587</v>
      </c>
      <c r="BP77" s="111">
        <f t="shared" si="75"/>
        <v>3824562581.3582048</v>
      </c>
      <c r="BQ77" s="111">
        <f t="shared" si="75"/>
        <v>3800610703.2163386</v>
      </c>
      <c r="BR77" s="111">
        <f t="shared" si="75"/>
        <v>3779052922.2032485</v>
      </c>
      <c r="BS77" s="111">
        <f t="shared" si="75"/>
        <v>3757695468.5730133</v>
      </c>
      <c r="BT77" s="111">
        <f t="shared" si="75"/>
        <v>3737214521.4192305</v>
      </c>
      <c r="BU77" s="111">
        <f t="shared" si="75"/>
        <v>3718729125.0483851</v>
      </c>
      <c r="BV77" s="111">
        <f t="shared" si="75"/>
        <v>3703025049.4143877</v>
      </c>
      <c r="BW77" s="111">
        <f t="shared" si="75"/>
        <v>3684537369.3412266</v>
      </c>
      <c r="BX77" s="111">
        <f t="shared" si="75"/>
        <v>3670243357.4673185</v>
      </c>
      <c r="BY77" s="111">
        <f t="shared" si="75"/>
        <v>3657609449.1875834</v>
      </c>
      <c r="CA77" s="9">
        <f t="shared" ref="CA77:DJ77" si="76">(D76-D77)/D76</f>
        <v>0</v>
      </c>
      <c r="CB77" s="9">
        <f t="shared" si="76"/>
        <v>0</v>
      </c>
      <c r="CC77" s="9">
        <f t="shared" si="76"/>
        <v>0</v>
      </c>
      <c r="CD77" s="9">
        <f t="shared" si="76"/>
        <v>0</v>
      </c>
      <c r="CE77" s="9">
        <f t="shared" si="76"/>
        <v>0</v>
      </c>
      <c r="CF77" s="9">
        <f t="shared" si="76"/>
        <v>0.45370116894515422</v>
      </c>
      <c r="CG77" s="9">
        <f t="shared" si="76"/>
        <v>0.45384013917116861</v>
      </c>
      <c r="CH77" s="9">
        <f t="shared" si="76"/>
        <v>0.45397862123123289</v>
      </c>
      <c r="CI77" s="9">
        <f t="shared" si="76"/>
        <v>0.45399482313556661</v>
      </c>
      <c r="CJ77" s="9">
        <f t="shared" si="76"/>
        <v>0.45393069666219965</v>
      </c>
      <c r="CK77" s="9">
        <f t="shared" si="76"/>
        <v>0.45384305654696966</v>
      </c>
      <c r="CL77" s="9">
        <f t="shared" si="76"/>
        <v>0.45370420498957581</v>
      </c>
      <c r="CM77" s="9">
        <f t="shared" si="76"/>
        <v>0.4535327116695832</v>
      </c>
      <c r="CN77" s="9">
        <f t="shared" si="76"/>
        <v>0.45331925419351177</v>
      </c>
      <c r="CO77" s="9">
        <f t="shared" si="76"/>
        <v>0.45306854295084148</v>
      </c>
      <c r="CP77" s="9">
        <f t="shared" si="76"/>
        <v>0.45279686550397219</v>
      </c>
      <c r="CQ77" s="9">
        <f t="shared" si="76"/>
        <v>0.45250755819673455</v>
      </c>
      <c r="CR77" s="9">
        <f t="shared" si="76"/>
        <v>0.45217668175635284</v>
      </c>
      <c r="CS77" s="9">
        <f t="shared" si="76"/>
        <v>0.45183291865945902</v>
      </c>
      <c r="CT77" s="9">
        <f t="shared" si="76"/>
        <v>0.45145963095284297</v>
      </c>
      <c r="CU77" s="9">
        <f t="shared" si="76"/>
        <v>0.45106294526815949</v>
      </c>
      <c r="CV77" s="9">
        <f t="shared" si="76"/>
        <v>0.45065546835774434</v>
      </c>
      <c r="CW77" s="9">
        <f t="shared" si="76"/>
        <v>0.45024225065317325</v>
      </c>
      <c r="CX77" s="9">
        <f t="shared" si="76"/>
        <v>0.44980284905523998</v>
      </c>
      <c r="CY77" s="9">
        <f t="shared" si="76"/>
        <v>0.44935022096695704</v>
      </c>
      <c r="CZ77" s="9">
        <f t="shared" si="76"/>
        <v>0.44889245566699276</v>
      </c>
      <c r="DA77" s="9">
        <f t="shared" si="76"/>
        <v>0.44843592881924543</v>
      </c>
      <c r="DB77" s="9">
        <f t="shared" si="76"/>
        <v>0.44796826879183121</v>
      </c>
      <c r="DC77" s="9">
        <f t="shared" si="76"/>
        <v>0.44750067094485901</v>
      </c>
      <c r="DD77" s="9">
        <f t="shared" si="76"/>
        <v>0.44703059959374103</v>
      </c>
      <c r="DE77" s="9">
        <f t="shared" si="76"/>
        <v>0.4465772821526397</v>
      </c>
      <c r="DF77" s="9">
        <f t="shared" si="76"/>
        <v>0.44611115752811809</v>
      </c>
      <c r="DG77" s="9">
        <f t="shared" si="76"/>
        <v>0.44566553389865365</v>
      </c>
      <c r="DH77" s="9">
        <f t="shared" si="76"/>
        <v>0.4452031266088835</v>
      </c>
      <c r="DI77" s="9">
        <f t="shared" si="76"/>
        <v>0.44475189599802606</v>
      </c>
      <c r="DJ77" s="9">
        <f t="shared" si="76"/>
        <v>0.44430512588283949</v>
      </c>
    </row>
    <row r="78" spans="1:114" x14ac:dyDescent="0.3">
      <c r="A78" t="s">
        <v>736</v>
      </c>
      <c r="B78" t="s">
        <v>686</v>
      </c>
      <c r="C78" t="s">
        <v>696</v>
      </c>
      <c r="D78">
        <v>0.43598606767760001</v>
      </c>
      <c r="E78">
        <v>0.4298561336401</v>
      </c>
      <c r="F78">
        <v>0.39601286324871199</v>
      </c>
      <c r="G78">
        <v>0.45278963404213701</v>
      </c>
      <c r="H78">
        <v>0.42349049172129799</v>
      </c>
      <c r="I78">
        <v>0.42975753910105302</v>
      </c>
      <c r="J78">
        <v>0.42853301182408199</v>
      </c>
      <c r="K78">
        <v>0.42640818870927599</v>
      </c>
      <c r="L78">
        <v>0.42351589419254299</v>
      </c>
      <c r="M78">
        <v>0.42058507855806998</v>
      </c>
      <c r="N78">
        <v>0.41691976974107697</v>
      </c>
      <c r="O78">
        <v>0.41410004444590798</v>
      </c>
      <c r="P78">
        <v>0.41255435146342301</v>
      </c>
      <c r="Q78">
        <v>0.41161795865254902</v>
      </c>
      <c r="R78">
        <v>0.411605387580806</v>
      </c>
      <c r="S78">
        <v>0.41141401265723498</v>
      </c>
      <c r="T78">
        <v>0.41125060256547802</v>
      </c>
      <c r="U78">
        <v>0.41027644335971902</v>
      </c>
      <c r="V78">
        <v>0.409842280268927</v>
      </c>
      <c r="W78">
        <v>0.40952569084606699</v>
      </c>
      <c r="X78">
        <v>0.40961907939731901</v>
      </c>
      <c r="Y78">
        <v>0.409749251342994</v>
      </c>
      <c r="Z78">
        <v>0.409748903602902</v>
      </c>
      <c r="AA78">
        <v>0.40999766890413297</v>
      </c>
      <c r="AB78">
        <v>0.410536813150088</v>
      </c>
      <c r="AC78">
        <v>0.41116064223709298</v>
      </c>
      <c r="AD78">
        <v>0.41164396829224098</v>
      </c>
      <c r="AE78">
        <v>0.41237197110051399</v>
      </c>
      <c r="AF78">
        <v>0.41312610623868701</v>
      </c>
      <c r="AG78">
        <v>0.41389882326114802</v>
      </c>
      <c r="AH78">
        <v>0.41468094012790202</v>
      </c>
      <c r="AI78">
        <v>0.415688138855898</v>
      </c>
      <c r="AJ78">
        <v>0.41675467524781801</v>
      </c>
      <c r="AK78">
        <v>0.41768928568064401</v>
      </c>
      <c r="AL78">
        <v>0.41878906681421002</v>
      </c>
      <c r="AM78">
        <v>0.420132809533728</v>
      </c>
      <c r="AO78" t="str">
        <f t="shared" si="64"/>
        <v>Baseline uncompeted_Prospective Commercial AVCT HVAC (FS)</v>
      </c>
      <c r="AP78" s="111"/>
      <c r="AQ78" s="111"/>
      <c r="AR78" s="111"/>
      <c r="AS78" s="111"/>
      <c r="AT78" s="111"/>
      <c r="AU78" s="209"/>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row>
    <row r="79" spans="1:114" x14ac:dyDescent="0.3">
      <c r="A79" t="s">
        <v>736</v>
      </c>
      <c r="B79" t="s">
        <v>685</v>
      </c>
      <c r="C79" t="s">
        <v>696</v>
      </c>
      <c r="D79">
        <v>0.43598606767760001</v>
      </c>
      <c r="E79">
        <v>0.4298561336401</v>
      </c>
      <c r="F79">
        <v>0.39601286324871199</v>
      </c>
      <c r="G79">
        <v>0.45278963404213701</v>
      </c>
      <c r="H79">
        <v>0.42349049172129799</v>
      </c>
      <c r="I79">
        <v>0.21862888356459501</v>
      </c>
      <c r="J79">
        <v>0.21773484229949</v>
      </c>
      <c r="K79">
        <v>0.21646660100260501</v>
      </c>
      <c r="L79">
        <v>0.21501193690835799</v>
      </c>
      <c r="M79">
        <v>0.214029419978439</v>
      </c>
      <c r="N79">
        <v>0.21235214551575499</v>
      </c>
      <c r="O79">
        <v>0.211185353678952</v>
      </c>
      <c r="P79">
        <v>0.21078172486895</v>
      </c>
      <c r="Q79">
        <v>0.21081709375869101</v>
      </c>
      <c r="R79">
        <v>0.2116269179196</v>
      </c>
      <c r="S79">
        <v>0.212238107736195</v>
      </c>
      <c r="T79">
        <v>0.21276550871661001</v>
      </c>
      <c r="U79">
        <v>0.21253961613935399</v>
      </c>
      <c r="V79">
        <v>0.212975491078018</v>
      </c>
      <c r="W79">
        <v>0.213379260986437</v>
      </c>
      <c r="X79">
        <v>0.214172997711012</v>
      </c>
      <c r="Y79">
        <v>0.21507609315277801</v>
      </c>
      <c r="Z79">
        <v>0.21576483259444901</v>
      </c>
      <c r="AA79">
        <v>0.216615756998287</v>
      </c>
      <c r="AB79">
        <v>0.21768691401534401</v>
      </c>
      <c r="AC79">
        <v>0.21882958294912799</v>
      </c>
      <c r="AD79">
        <v>0.21984145137941699</v>
      </c>
      <c r="AE79">
        <v>0.220999468783669</v>
      </c>
      <c r="AF79">
        <v>0.222218649770413</v>
      </c>
      <c r="AG79">
        <v>0.22346526621747601</v>
      </c>
      <c r="AH79">
        <v>0.22472649848676399</v>
      </c>
      <c r="AI79">
        <v>0.226158603693775</v>
      </c>
      <c r="AJ79">
        <v>0.22771186131603499</v>
      </c>
      <c r="AK79">
        <v>0.22912659766934501</v>
      </c>
      <c r="AL79">
        <v>0.230741154122373</v>
      </c>
      <c r="AM79">
        <v>0.23246878654678799</v>
      </c>
      <c r="AO79" t="str">
        <f t="shared" si="64"/>
        <v>Efficient uncompeted_Prospective Commercial AVCT HVAC (FS)</v>
      </c>
      <c r="AP79" s="111">
        <f t="shared" ref="AP79:BY79" si="77">(D78-D79)*293071083333.33</f>
        <v>0</v>
      </c>
      <c r="AQ79" s="111">
        <f t="shared" si="77"/>
        <v>0</v>
      </c>
      <c r="AR79" s="111">
        <f t="shared" si="77"/>
        <v>0</v>
      </c>
      <c r="AS79" s="111">
        <f t="shared" si="77"/>
        <v>0</v>
      </c>
      <c r="AT79" s="111">
        <f t="shared" si="77"/>
        <v>0</v>
      </c>
      <c r="AU79" s="209">
        <f t="shared" si="77"/>
        <v>61875703800.779213</v>
      </c>
      <c r="AV79" s="111">
        <f t="shared" si="77"/>
        <v>61778847907.255127</v>
      </c>
      <c r="AW79" s="111">
        <f t="shared" si="77"/>
        <v>61527808545.913383</v>
      </c>
      <c r="AX79" s="111">
        <f t="shared" si="77"/>
        <v>61106480640.562462</v>
      </c>
      <c r="AY79" s="111">
        <f t="shared" si="77"/>
        <v>60535490628.561897</v>
      </c>
      <c r="AZ79" s="111">
        <f t="shared" si="77"/>
        <v>59952855246.640678</v>
      </c>
      <c r="BA79" s="111">
        <f t="shared" si="77"/>
        <v>59468428247.31945</v>
      </c>
      <c r="BB79" s="111">
        <f t="shared" si="77"/>
        <v>59133722263.05368</v>
      </c>
      <c r="BC79" s="111">
        <f t="shared" si="77"/>
        <v>58848927008.712601</v>
      </c>
      <c r="BD79" s="111">
        <f t="shared" si="77"/>
        <v>58607906746.951111</v>
      </c>
      <c r="BE79" s="111">
        <f t="shared" si="77"/>
        <v>58372698229.105522</v>
      </c>
      <c r="BF79" s="111">
        <f t="shared" si="77"/>
        <v>58170241479.805428</v>
      </c>
      <c r="BG79" s="111">
        <f t="shared" si="77"/>
        <v>57950946168.367882</v>
      </c>
      <c r="BH79" s="111">
        <f t="shared" si="77"/>
        <v>57695963180.534004</v>
      </c>
      <c r="BI79" s="111">
        <f t="shared" si="77"/>
        <v>57484846690.926788</v>
      </c>
      <c r="BJ79" s="111">
        <f t="shared" si="77"/>
        <v>57279594893.060509</v>
      </c>
      <c r="BK79" s="111">
        <f t="shared" si="77"/>
        <v>57053073366.727325</v>
      </c>
      <c r="BL79" s="111">
        <f t="shared" si="77"/>
        <v>56851121839.856934</v>
      </c>
      <c r="BM79" s="111">
        <f t="shared" si="77"/>
        <v>56674646419.316872</v>
      </c>
      <c r="BN79" s="111">
        <f t="shared" si="77"/>
        <v>56518728860.142845</v>
      </c>
      <c r="BO79" s="111">
        <f t="shared" si="77"/>
        <v>56366671904.170822</v>
      </c>
      <c r="BP79" s="111">
        <f t="shared" si="77"/>
        <v>56211771417.700676</v>
      </c>
      <c r="BQ79" s="111">
        <f t="shared" si="77"/>
        <v>56085746574.20797</v>
      </c>
      <c r="BR79" s="111">
        <f t="shared" si="77"/>
        <v>55949455083.567604</v>
      </c>
      <c r="BS79" s="111">
        <f t="shared" si="77"/>
        <v>55810568865.808456</v>
      </c>
      <c r="BT79" s="111">
        <f t="shared" si="77"/>
        <v>55670153995.74614</v>
      </c>
      <c r="BU79" s="111">
        <f t="shared" si="77"/>
        <v>55545626193.625854</v>
      </c>
      <c r="BV79" s="111">
        <f t="shared" si="77"/>
        <v>55402982275.368782</v>
      </c>
      <c r="BW79" s="111">
        <f t="shared" si="77"/>
        <v>55262271251.716118</v>
      </c>
      <c r="BX79" s="111">
        <f t="shared" si="77"/>
        <v>55111405491.168137</v>
      </c>
      <c r="BY79" s="111">
        <f t="shared" si="77"/>
        <v>54998898519.473457</v>
      </c>
      <c r="CA79" s="9">
        <f t="shared" ref="CA79:DJ79" si="78">(D78-D79)/D78</f>
        <v>0</v>
      </c>
      <c r="CB79" s="9">
        <f t="shared" si="78"/>
        <v>0</v>
      </c>
      <c r="CC79" s="9">
        <f t="shared" si="78"/>
        <v>0</v>
      </c>
      <c r="CD79" s="9">
        <f t="shared" si="78"/>
        <v>0</v>
      </c>
      <c r="CE79" s="9">
        <f t="shared" si="78"/>
        <v>0</v>
      </c>
      <c r="CF79" s="9">
        <f t="shared" si="78"/>
        <v>0.49127388428853902</v>
      </c>
      <c r="CG79" s="9">
        <f t="shared" si="78"/>
        <v>0.49190648960114935</v>
      </c>
      <c r="CH79" s="9">
        <f t="shared" si="78"/>
        <v>0.49234886492718982</v>
      </c>
      <c r="CI79" s="9">
        <f t="shared" si="78"/>
        <v>0.49231672327601683</v>
      </c>
      <c r="CJ79" s="9">
        <f t="shared" si="78"/>
        <v>0.49111504214030727</v>
      </c>
      <c r="CK79" s="9">
        <f t="shared" si="78"/>
        <v>0.49066424543112036</v>
      </c>
      <c r="CL79" s="9">
        <f t="shared" si="78"/>
        <v>0.49001368990063415</v>
      </c>
      <c r="CM79" s="9">
        <f t="shared" si="78"/>
        <v>0.48908131953702622</v>
      </c>
      <c r="CN79" s="9">
        <f t="shared" si="78"/>
        <v>0.48783310026411192</v>
      </c>
      <c r="CO79" s="9">
        <f t="shared" si="78"/>
        <v>0.48584998081918063</v>
      </c>
      <c r="CP79" s="9">
        <f t="shared" si="78"/>
        <v>0.48412523344697345</v>
      </c>
      <c r="CQ79" s="9">
        <f t="shared" si="78"/>
        <v>0.48263781891302115</v>
      </c>
      <c r="CR79" s="9">
        <f t="shared" si="78"/>
        <v>0.48195998191150075</v>
      </c>
      <c r="CS79" s="9">
        <f t="shared" si="78"/>
        <v>0.48034768170265529</v>
      </c>
      <c r="CT79" s="9">
        <f t="shared" si="78"/>
        <v>0.47896001214086897</v>
      </c>
      <c r="CU79" s="9">
        <f t="shared" si="78"/>
        <v>0.47714105986925914</v>
      </c>
      <c r="CV79" s="9">
        <f t="shared" si="78"/>
        <v>0.4751031455265759</v>
      </c>
      <c r="CW79" s="9">
        <f t="shared" si="78"/>
        <v>0.47342181834474867</v>
      </c>
      <c r="CX79" s="9">
        <f t="shared" si="78"/>
        <v>0.47166588147373878</v>
      </c>
      <c r="CY79" s="9">
        <f t="shared" si="78"/>
        <v>0.46975056306153978</v>
      </c>
      <c r="CZ79" s="9">
        <f t="shared" si="78"/>
        <v>0.46777594820726687</v>
      </c>
      <c r="DA79" s="9">
        <f t="shared" si="78"/>
        <v>0.46594273616723186</v>
      </c>
      <c r="DB79" s="9">
        <f t="shared" si="78"/>
        <v>0.46407737607898364</v>
      </c>
      <c r="DC79" s="9">
        <f t="shared" si="78"/>
        <v>0.46210455738659045</v>
      </c>
      <c r="DD79" s="9">
        <f t="shared" si="78"/>
        <v>0.46009687957851148</v>
      </c>
      <c r="DE79" s="9">
        <f t="shared" si="78"/>
        <v>0.45807372188977258</v>
      </c>
      <c r="DF79" s="9">
        <f t="shared" si="78"/>
        <v>0.45594164818791016</v>
      </c>
      <c r="DG79" s="9">
        <f t="shared" si="78"/>
        <v>0.4536069423081362</v>
      </c>
      <c r="DH79" s="9">
        <f t="shared" si="78"/>
        <v>0.45144248242812207</v>
      </c>
      <c r="DI79" s="9">
        <f t="shared" si="78"/>
        <v>0.44902775070597023</v>
      </c>
      <c r="DJ79" s="9">
        <f t="shared" si="78"/>
        <v>0.44667785692627382</v>
      </c>
    </row>
    <row r="80" spans="1:114" x14ac:dyDescent="0.3">
      <c r="A80" t="s">
        <v>735</v>
      </c>
      <c r="B80" t="s">
        <v>686</v>
      </c>
      <c r="C80" t="s">
        <v>22</v>
      </c>
      <c r="D80">
        <v>1.6997072700000001E-2</v>
      </c>
      <c r="E80">
        <v>1.6789534799999999E-2</v>
      </c>
      <c r="F80">
        <v>1.6415748160014201E-2</v>
      </c>
      <c r="G80">
        <v>1.6050723877983199E-2</v>
      </c>
      <c r="H80">
        <v>1.5634331772947999E-2</v>
      </c>
      <c r="I80">
        <v>1.5300191426475099E-2</v>
      </c>
      <c r="J80">
        <v>1.49143074938643E-2</v>
      </c>
      <c r="K80">
        <v>1.4597436136620401E-2</v>
      </c>
      <c r="L80">
        <v>1.4323737594843599E-2</v>
      </c>
      <c r="M80">
        <v>1.40855282114922E-2</v>
      </c>
      <c r="N80">
        <v>1.3801246255147901E-2</v>
      </c>
      <c r="O80">
        <v>1.35421574085842E-2</v>
      </c>
      <c r="P80">
        <v>1.33261130960652E-2</v>
      </c>
      <c r="Q80">
        <v>1.3138393757535199E-2</v>
      </c>
      <c r="R80">
        <v>1.3001617950020999E-2</v>
      </c>
      <c r="S80">
        <v>1.2856922671901701E-2</v>
      </c>
      <c r="T80">
        <v>1.26988252467835E-2</v>
      </c>
      <c r="U80">
        <v>1.2499616636162499E-2</v>
      </c>
      <c r="V80">
        <v>1.2344048338424601E-2</v>
      </c>
      <c r="W80">
        <v>1.21802474839689E-2</v>
      </c>
      <c r="X80">
        <v>1.2040225808490001E-2</v>
      </c>
      <c r="Y80">
        <v>1.1909890676133E-2</v>
      </c>
      <c r="Z80">
        <v>1.1758127164559999E-2</v>
      </c>
      <c r="AA80">
        <v>1.1622495586427599E-2</v>
      </c>
      <c r="AB80">
        <v>1.14971240960674E-2</v>
      </c>
      <c r="AC80">
        <v>1.13824876159342E-2</v>
      </c>
      <c r="AD80">
        <v>1.12537249056208E-2</v>
      </c>
      <c r="AE80">
        <v>1.1132426140688E-2</v>
      </c>
      <c r="AF80">
        <v>1.1014817974925799E-2</v>
      </c>
      <c r="AG80">
        <v>1.09019191828316E-2</v>
      </c>
      <c r="AH80">
        <v>1.07889471269321E-2</v>
      </c>
      <c r="AI80">
        <v>1.0681308640024201E-2</v>
      </c>
      <c r="AJ80">
        <v>1.0578809997944E-2</v>
      </c>
      <c r="AK80">
        <v>1.0471071103501499E-2</v>
      </c>
      <c r="AL80">
        <v>1.0379238381050201E-2</v>
      </c>
      <c r="AM80">
        <v>1.0280477713879599E-2</v>
      </c>
      <c r="AO80" t="str">
        <f t="shared" si="64"/>
        <v>Baseline uncompeted_Prospective Commercial CO2 HPWH</v>
      </c>
      <c r="AP80" s="111"/>
      <c r="AQ80" s="111"/>
      <c r="AR80" s="111"/>
      <c r="AS80" s="111"/>
      <c r="AT80" s="111"/>
      <c r="AU80" s="209"/>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row>
    <row r="81" spans="1:114" x14ac:dyDescent="0.3">
      <c r="A81" t="s">
        <v>735</v>
      </c>
      <c r="B81" t="s">
        <v>685</v>
      </c>
      <c r="C81" t="s">
        <v>22</v>
      </c>
      <c r="D81">
        <v>1.6997072700000001E-2</v>
      </c>
      <c r="E81">
        <v>1.6789534799999999E-2</v>
      </c>
      <c r="F81">
        <v>1.6415748160014201E-2</v>
      </c>
      <c r="G81">
        <v>1.6050723877983199E-2</v>
      </c>
      <c r="H81">
        <v>1.5634331772947999E-2</v>
      </c>
      <c r="I81">
        <v>4.5859277940681004E-3</v>
      </c>
      <c r="J81">
        <v>4.5709727046905502E-3</v>
      </c>
      <c r="K81">
        <v>4.5419383082242496E-3</v>
      </c>
      <c r="L81">
        <v>4.5057886991475499E-3</v>
      </c>
      <c r="M81">
        <v>4.4835014087301799E-3</v>
      </c>
      <c r="N81">
        <v>4.4405035810811799E-3</v>
      </c>
      <c r="O81">
        <v>4.4059710748504096E-3</v>
      </c>
      <c r="P81">
        <v>4.37413476334092E-3</v>
      </c>
      <c r="Q81">
        <v>4.3577716627853603E-3</v>
      </c>
      <c r="R81">
        <v>4.3520424399950998E-3</v>
      </c>
      <c r="S81">
        <v>4.3430000555446796E-3</v>
      </c>
      <c r="T81">
        <v>4.3268508261584699E-3</v>
      </c>
      <c r="U81">
        <v>4.29229308410581E-3</v>
      </c>
      <c r="V81">
        <v>4.2737977751799196E-3</v>
      </c>
      <c r="W81">
        <v>4.2484152501831999E-3</v>
      </c>
      <c r="X81">
        <v>4.2339150673957101E-3</v>
      </c>
      <c r="Y81">
        <v>4.2238769321023099E-3</v>
      </c>
      <c r="Z81">
        <v>4.2049041160336902E-3</v>
      </c>
      <c r="AA81">
        <v>4.1874765064156697E-3</v>
      </c>
      <c r="AB81">
        <v>4.1764371689177104E-3</v>
      </c>
      <c r="AC81">
        <v>4.1650203569606496E-3</v>
      </c>
      <c r="AD81">
        <v>4.1487598499926398E-3</v>
      </c>
      <c r="AE81">
        <v>4.1288868565903403E-3</v>
      </c>
      <c r="AF81">
        <v>4.1123835953540203E-3</v>
      </c>
      <c r="AG81">
        <v>4.0972771348951904E-3</v>
      </c>
      <c r="AH81">
        <v>4.0805048743711297E-3</v>
      </c>
      <c r="AI81">
        <v>4.0636669846466598E-3</v>
      </c>
      <c r="AJ81">
        <v>4.0477236356257001E-3</v>
      </c>
      <c r="AK81">
        <v>4.0287875740198202E-3</v>
      </c>
      <c r="AL81">
        <v>4.0159658882328196E-3</v>
      </c>
      <c r="AM81">
        <v>3.9999170157970498E-3</v>
      </c>
      <c r="AO81" t="str">
        <f t="shared" si="64"/>
        <v>Efficient uncompeted_Prospective Commercial CO2 HPWH</v>
      </c>
      <c r="AP81" s="111">
        <f t="shared" ref="AP81:BY81" si="79">(D80-D81)*293071083333.33</f>
        <v>0</v>
      </c>
      <c r="AQ81" s="111">
        <f t="shared" si="79"/>
        <v>0</v>
      </c>
      <c r="AR81" s="111">
        <f t="shared" si="79"/>
        <v>0</v>
      </c>
      <c r="AS81" s="111">
        <f t="shared" si="79"/>
        <v>0</v>
      </c>
      <c r="AT81" s="111">
        <f t="shared" si="79"/>
        <v>0</v>
      </c>
      <c r="AU81" s="209">
        <f t="shared" si="79"/>
        <v>3140040849.8684192</v>
      </c>
      <c r="AV81" s="111">
        <f t="shared" si="79"/>
        <v>3031332331.9424715</v>
      </c>
      <c r="AW81" s="111">
        <f t="shared" si="79"/>
        <v>2946975642.0240073</v>
      </c>
      <c r="AX81" s="111">
        <f t="shared" si="79"/>
        <v>2877356918.9729118</v>
      </c>
      <c r="AY81" s="111">
        <f t="shared" si="79"/>
        <v>2814076397.281136</v>
      </c>
      <c r="AZ81" s="111">
        <f t="shared" si="79"/>
        <v>2743362996.2932663</v>
      </c>
      <c r="BA81" s="111">
        <f t="shared" si="79"/>
        <v>2677552026.3625269</v>
      </c>
      <c r="BB81" s="111">
        <f t="shared" si="79"/>
        <v>2623565987.9480019</v>
      </c>
      <c r="BC81" s="111">
        <f t="shared" si="79"/>
        <v>2573346429.6489086</v>
      </c>
      <c r="BD81" s="111">
        <f t="shared" si="79"/>
        <v>2534940465.0967307</v>
      </c>
      <c r="BE81" s="111">
        <f t="shared" si="79"/>
        <v>2495184524.5918918</v>
      </c>
      <c r="BF81" s="111">
        <f t="shared" si="79"/>
        <v>2453583613.0915055</v>
      </c>
      <c r="BG81" s="111">
        <f t="shared" si="79"/>
        <v>2405329204.6684079</v>
      </c>
      <c r="BH81" s="111">
        <f t="shared" si="79"/>
        <v>2365157075.3415356</v>
      </c>
      <c r="BI81" s="111">
        <f t="shared" si="79"/>
        <v>2324590665.5738015</v>
      </c>
      <c r="BJ81" s="111">
        <f t="shared" si="79"/>
        <v>2287803945.7291141</v>
      </c>
      <c r="BK81" s="111">
        <f t="shared" si="79"/>
        <v>2252548374.4779382</v>
      </c>
      <c r="BL81" s="111">
        <f t="shared" si="79"/>
        <v>2213631261.4898829</v>
      </c>
      <c r="BM81" s="111">
        <f t="shared" si="79"/>
        <v>2178989096.3830748</v>
      </c>
      <c r="BN81" s="111">
        <f t="shared" si="79"/>
        <v>2145481648.4839063</v>
      </c>
      <c r="BO81" s="111">
        <f t="shared" si="79"/>
        <v>2115230948.5102184</v>
      </c>
      <c r="BP81" s="111">
        <f t="shared" si="79"/>
        <v>2082259805.8983984</v>
      </c>
      <c r="BQ81" s="111">
        <f t="shared" si="79"/>
        <v>2052534845.1580358</v>
      </c>
      <c r="BR81" s="111">
        <f t="shared" si="79"/>
        <v>2022903921.258323</v>
      </c>
      <c r="BS81" s="111">
        <f t="shared" si="79"/>
        <v>1994243816.684253</v>
      </c>
      <c r="BT81" s="111">
        <f t="shared" si="79"/>
        <v>1966050438.4371283</v>
      </c>
      <c r="BU81" s="111">
        <f t="shared" si="79"/>
        <v>1939439409.0532672</v>
      </c>
      <c r="BV81" s="111">
        <f t="shared" si="79"/>
        <v>1914072555.5481615</v>
      </c>
      <c r="BW81" s="111">
        <f t="shared" si="79"/>
        <v>1888047013.1256645</v>
      </c>
      <c r="BX81" s="111">
        <f t="shared" si="79"/>
        <v>1864891163.0151694</v>
      </c>
      <c r="BY81" s="111">
        <f t="shared" si="79"/>
        <v>1840650727.7277882</v>
      </c>
      <c r="CA81" s="9">
        <f t="shared" ref="CA81:DJ81" si="80">(D80-D81)/D80</f>
        <v>0</v>
      </c>
      <c r="CB81" s="9">
        <f t="shared" si="80"/>
        <v>0</v>
      </c>
      <c r="CC81" s="9">
        <f t="shared" si="80"/>
        <v>0</v>
      </c>
      <c r="CD81" s="9">
        <f t="shared" si="80"/>
        <v>0</v>
      </c>
      <c r="CE81" s="9">
        <f t="shared" si="80"/>
        <v>0</v>
      </c>
      <c r="CF81" s="9">
        <f t="shared" si="80"/>
        <v>0.70026990733379224</v>
      </c>
      <c r="CG81" s="9">
        <f t="shared" si="80"/>
        <v>0.69351760337709045</v>
      </c>
      <c r="CH81" s="9">
        <f t="shared" si="80"/>
        <v>0.68885369555891063</v>
      </c>
      <c r="CI81" s="9">
        <f t="shared" si="80"/>
        <v>0.68543205505456972</v>
      </c>
      <c r="CJ81" s="9">
        <f t="shared" si="80"/>
        <v>0.681694478090488</v>
      </c>
      <c r="CK81" s="9">
        <f t="shared" si="80"/>
        <v>0.67825343458205012</v>
      </c>
      <c r="CL81" s="9">
        <f t="shared" si="80"/>
        <v>0.67464777273541954</v>
      </c>
      <c r="CM81" s="9">
        <f t="shared" si="80"/>
        <v>0.6717621461105211</v>
      </c>
      <c r="CN81" s="9">
        <f t="shared" si="80"/>
        <v>0.66831777588595487</v>
      </c>
      <c r="CO81" s="9">
        <f t="shared" si="80"/>
        <v>0.66526916444363982</v>
      </c>
      <c r="CP81" s="9">
        <f t="shared" si="80"/>
        <v>0.66220532188187342</v>
      </c>
      <c r="CQ81" s="9">
        <f t="shared" si="80"/>
        <v>0.6592715670881113</v>
      </c>
      <c r="CR81" s="9">
        <f t="shared" si="80"/>
        <v>0.65660602168487103</v>
      </c>
      <c r="CS81" s="9">
        <f t="shared" si="80"/>
        <v>0.65377664944194802</v>
      </c>
      <c r="CT81" s="9">
        <f t="shared" si="80"/>
        <v>0.65120452143728802</v>
      </c>
      <c r="CU81" s="9">
        <f t="shared" si="80"/>
        <v>0.64835251973345698</v>
      </c>
      <c r="CV81" s="9">
        <f t="shared" si="80"/>
        <v>0.64534712811706907</v>
      </c>
      <c r="CW81" s="9">
        <f t="shared" si="80"/>
        <v>0.64238317402216649</v>
      </c>
      <c r="CX81" s="9">
        <f t="shared" si="80"/>
        <v>0.63970934854080064</v>
      </c>
      <c r="CY81" s="9">
        <f t="shared" si="80"/>
        <v>0.63674070715247266</v>
      </c>
      <c r="CZ81" s="9">
        <f t="shared" si="80"/>
        <v>0.63408522833531655</v>
      </c>
      <c r="DA81" s="9">
        <f t="shared" si="80"/>
        <v>0.63134340986774129</v>
      </c>
      <c r="DB81" s="9">
        <f t="shared" si="80"/>
        <v>0.62911167750759767</v>
      </c>
      <c r="DC81" s="9">
        <f t="shared" si="80"/>
        <v>0.62664988157630241</v>
      </c>
      <c r="DD81" s="9">
        <f t="shared" si="80"/>
        <v>0.62416918836202673</v>
      </c>
      <c r="DE81" s="9">
        <f t="shared" si="80"/>
        <v>0.62178840749111675</v>
      </c>
      <c r="DF81" s="9">
        <f t="shared" si="80"/>
        <v>0.61955345345797885</v>
      </c>
      <c r="DG81" s="9">
        <f t="shared" si="80"/>
        <v>0.61737438932995503</v>
      </c>
      <c r="DH81" s="9">
        <f t="shared" si="80"/>
        <v>0.61524589660434992</v>
      </c>
      <c r="DI81" s="9">
        <f t="shared" si="80"/>
        <v>0.6130770157890455</v>
      </c>
      <c r="DJ81" s="9">
        <f t="shared" si="80"/>
        <v>0.61092109461053634</v>
      </c>
    </row>
    <row r="82" spans="1:114" x14ac:dyDescent="0.3">
      <c r="A82" t="s">
        <v>734</v>
      </c>
      <c r="B82" t="s">
        <v>686</v>
      </c>
      <c r="C82" t="s">
        <v>22</v>
      </c>
      <c r="D82">
        <v>8.1755339499999996E-2</v>
      </c>
      <c r="E82">
        <v>8.4071122799999995E-2</v>
      </c>
      <c r="F82">
        <v>8.5088139500000007E-2</v>
      </c>
      <c r="G82">
        <v>8.6336642500000005E-2</v>
      </c>
      <c r="H82">
        <v>8.7456534200000005E-2</v>
      </c>
      <c r="I82">
        <v>8.8342426099999996E-2</v>
      </c>
      <c r="J82">
        <v>8.8953977700000006E-2</v>
      </c>
      <c r="K82">
        <v>8.9432380300000003E-2</v>
      </c>
      <c r="L82">
        <v>8.9738845600000006E-2</v>
      </c>
      <c r="M82">
        <v>8.9912776599999994E-2</v>
      </c>
      <c r="N82">
        <v>9.0131241900000006E-2</v>
      </c>
      <c r="O82">
        <v>9.0598574000000001E-2</v>
      </c>
      <c r="P82">
        <v>9.1301864100000005E-2</v>
      </c>
      <c r="Q82">
        <v>9.2097228000000003E-2</v>
      </c>
      <c r="R82">
        <v>9.2921589200000002E-2</v>
      </c>
      <c r="S82">
        <v>9.3782125999999993E-2</v>
      </c>
      <c r="T82">
        <v>9.4715410099999994E-2</v>
      </c>
      <c r="U82">
        <v>9.5574083399999996E-2</v>
      </c>
      <c r="V82">
        <v>9.6380603999999995E-2</v>
      </c>
      <c r="W82">
        <v>9.7207407300000007E-2</v>
      </c>
      <c r="X82">
        <v>9.8053280000000007E-2</v>
      </c>
      <c r="Y82">
        <v>9.8876612500000002E-2</v>
      </c>
      <c r="Z82">
        <v>9.9684386900000005E-2</v>
      </c>
      <c r="AA82">
        <v>0.1005448406</v>
      </c>
      <c r="AB82">
        <v>0.1014310075</v>
      </c>
      <c r="AC82">
        <v>0.1023005698</v>
      </c>
      <c r="AD82">
        <v>0.103193479</v>
      </c>
      <c r="AE82">
        <v>0.10407107779999999</v>
      </c>
      <c r="AF82">
        <v>0.10490496370000001</v>
      </c>
      <c r="AG82">
        <v>0.1057201131</v>
      </c>
      <c r="AH82">
        <v>0.1065230264</v>
      </c>
      <c r="AI82">
        <v>0.1073353289</v>
      </c>
      <c r="AJ82">
        <v>0.1081527009</v>
      </c>
      <c r="AK82">
        <v>0.108931631</v>
      </c>
      <c r="AL82">
        <v>0.1096463543</v>
      </c>
      <c r="AM82">
        <v>0.11037302340000001</v>
      </c>
      <c r="AO82" t="str">
        <f t="shared" si="64"/>
        <v>Baseline uncompeted_Prospective Commercial CO2 HPWH (FS)</v>
      </c>
      <c r="AP82" s="111"/>
      <c r="AQ82" s="111"/>
      <c r="AR82" s="111"/>
      <c r="AS82" s="111"/>
      <c r="AT82" s="111"/>
      <c r="AU82" s="209"/>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row>
    <row r="83" spans="1:114" x14ac:dyDescent="0.3">
      <c r="A83" t="s">
        <v>734</v>
      </c>
      <c r="B83" t="s">
        <v>685</v>
      </c>
      <c r="C83" t="s">
        <v>22</v>
      </c>
      <c r="D83">
        <v>8.1755339499999996E-2</v>
      </c>
      <c r="E83">
        <v>8.4071122799999995E-2</v>
      </c>
      <c r="F83">
        <v>8.5088139500000007E-2</v>
      </c>
      <c r="G83">
        <v>8.6336642500000005E-2</v>
      </c>
      <c r="H83">
        <v>8.7456534200000005E-2</v>
      </c>
      <c r="I83">
        <v>4.88850539030962E-2</v>
      </c>
      <c r="J83">
        <v>4.8573708706391397E-2</v>
      </c>
      <c r="K83">
        <v>4.8279628299957598E-2</v>
      </c>
      <c r="L83">
        <v>4.8015753092692903E-2</v>
      </c>
      <c r="M83">
        <v>4.7930592529814103E-2</v>
      </c>
      <c r="N83">
        <v>4.7754497146599899E-2</v>
      </c>
      <c r="O83">
        <v>4.7763491848378997E-2</v>
      </c>
      <c r="P83">
        <v>4.7959112609319003E-2</v>
      </c>
      <c r="Q83">
        <v>4.8245961505208698E-2</v>
      </c>
      <c r="R83">
        <v>4.8680613993472899E-2</v>
      </c>
      <c r="S83">
        <v>4.9085162822737102E-2</v>
      </c>
      <c r="T83">
        <v>4.94781468291558E-2</v>
      </c>
      <c r="U83">
        <v>4.9667222997479298E-2</v>
      </c>
      <c r="V83">
        <v>4.9994306632464403E-2</v>
      </c>
      <c r="W83">
        <v>5.0282326061905497E-2</v>
      </c>
      <c r="X83">
        <v>5.0666821396926999E-2</v>
      </c>
      <c r="Y83">
        <v>5.10858991401969E-2</v>
      </c>
      <c r="Z83">
        <v>5.1423918322649802E-2</v>
      </c>
      <c r="AA83">
        <v>5.1811907504923899E-2</v>
      </c>
      <c r="AB83">
        <v>5.2235881351241201E-2</v>
      </c>
      <c r="AC83">
        <v>5.2630007777966198E-2</v>
      </c>
      <c r="AD83">
        <v>5.3013302762816301E-2</v>
      </c>
      <c r="AE83">
        <v>5.3372696783450899E-2</v>
      </c>
      <c r="AF83">
        <v>5.3719540663854801E-2</v>
      </c>
      <c r="AG83">
        <v>5.4059072821680598E-2</v>
      </c>
      <c r="AH83">
        <v>5.4390174758667899E-2</v>
      </c>
      <c r="AI83">
        <v>5.4737768466879201E-2</v>
      </c>
      <c r="AJ83">
        <v>5.5129764965826902E-2</v>
      </c>
      <c r="AK83">
        <v>5.5471072205935799E-2</v>
      </c>
      <c r="AL83">
        <v>5.5801657191576599E-2</v>
      </c>
      <c r="AM83">
        <v>5.6107705214220302E-2</v>
      </c>
      <c r="AO83" t="str">
        <f t="shared" si="64"/>
        <v>Efficient uncompeted_Prospective Commercial CO2 HPWH (FS)</v>
      </c>
      <c r="AP83" s="111">
        <f t="shared" ref="AP83:BY83" si="81">(D82-D83)*293071083333.33</f>
        <v>0</v>
      </c>
      <c r="AQ83" s="111">
        <f t="shared" si="81"/>
        <v>0</v>
      </c>
      <c r="AR83" s="111">
        <f t="shared" si="81"/>
        <v>0</v>
      </c>
      <c r="AS83" s="111">
        <f t="shared" si="81"/>
        <v>0</v>
      </c>
      <c r="AT83" s="111">
        <f t="shared" si="81"/>
        <v>0</v>
      </c>
      <c r="AU83" s="209">
        <f t="shared" si="81"/>
        <v>11563814815.233011</v>
      </c>
      <c r="AV83" s="111">
        <f t="shared" si="81"/>
        <v>11834289179.248152</v>
      </c>
      <c r="AW83" s="111">
        <f t="shared" si="81"/>
        <v>12060681610.800291</v>
      </c>
      <c r="AX83" s="111">
        <f t="shared" si="81"/>
        <v>12227831921.133238</v>
      </c>
      <c r="AY83" s="111">
        <f t="shared" si="81"/>
        <v>12303764166.148649</v>
      </c>
      <c r="AZ83" s="111">
        <f t="shared" si="81"/>
        <v>12419398493.018978</v>
      </c>
      <c r="BA83" s="111">
        <f t="shared" si="81"/>
        <v>12553723930.847757</v>
      </c>
      <c r="BB83" s="111">
        <f t="shared" si="81"/>
        <v>12702507134.021185</v>
      </c>
      <c r="BC83" s="111">
        <f t="shared" si="81"/>
        <v>12851538177.167046</v>
      </c>
      <c r="BD83" s="111">
        <f t="shared" si="81"/>
        <v>12965750531.499891</v>
      </c>
      <c r="BE83" s="111">
        <f t="shared" si="81"/>
        <v>13099387420.070396</v>
      </c>
      <c r="BF83" s="111">
        <f t="shared" si="81"/>
        <v>13257733753.821367</v>
      </c>
      <c r="BG83" s="111">
        <f t="shared" si="81"/>
        <v>13453973310.598692</v>
      </c>
      <c r="BH83" s="111">
        <f t="shared" si="81"/>
        <v>13594482421.325651</v>
      </c>
      <c r="BI83" s="111">
        <f t="shared" si="81"/>
        <v>13752384393.952877</v>
      </c>
      <c r="BJ83" s="111">
        <f t="shared" si="81"/>
        <v>13887600758.132603</v>
      </c>
      <c r="BK83" s="111">
        <f t="shared" si="81"/>
        <v>14006076137.630144</v>
      </c>
      <c r="BL83" s="111">
        <f t="shared" si="81"/>
        <v>14143747808.138157</v>
      </c>
      <c r="BM83" s="111">
        <f t="shared" si="81"/>
        <v>14282213496.184647</v>
      </c>
      <c r="BN83" s="111">
        <f t="shared" si="81"/>
        <v>14417668915.136574</v>
      </c>
      <c r="BO83" s="111">
        <f t="shared" si="81"/>
        <v>14557005421.572807</v>
      </c>
      <c r="BP83" s="111">
        <f t="shared" si="81"/>
        <v>14706358611.688852</v>
      </c>
      <c r="BQ83" s="111">
        <f t="shared" si="81"/>
        <v>14858229447.765976</v>
      </c>
      <c r="BR83" s="111">
        <f t="shared" si="81"/>
        <v>15000967380.077862</v>
      </c>
      <c r="BS83" s="111">
        <f t="shared" si="81"/>
        <v>15140357040.493864</v>
      </c>
      <c r="BT83" s="111">
        <f t="shared" si="81"/>
        <v>15278631307.78097</v>
      </c>
      <c r="BU83" s="111">
        <f t="shared" si="81"/>
        <v>15414824016.825006</v>
      </c>
      <c r="BV83" s="111">
        <f t="shared" si="81"/>
        <v>15539489275.741861</v>
      </c>
      <c r="BW83" s="111">
        <f t="shared" si="81"/>
        <v>15667743881.381578</v>
      </c>
      <c r="BX83" s="111">
        <f t="shared" si="81"/>
        <v>15780323713.320667</v>
      </c>
      <c r="BY83" s="111">
        <f t="shared" si="81"/>
        <v>15903595588.134312</v>
      </c>
      <c r="CA83" s="9">
        <f t="shared" ref="CA83:DJ83" si="82">(D82-D83)/D82</f>
        <v>0</v>
      </c>
      <c r="CB83" s="9">
        <f t="shared" si="82"/>
        <v>0</v>
      </c>
      <c r="CC83" s="9">
        <f t="shared" si="82"/>
        <v>0</v>
      </c>
      <c r="CD83" s="9">
        <f t="shared" si="82"/>
        <v>0</v>
      </c>
      <c r="CE83" s="9">
        <f t="shared" si="82"/>
        <v>0</v>
      </c>
      <c r="CF83" s="9">
        <f t="shared" si="82"/>
        <v>0.44664125651518416</v>
      </c>
      <c r="CG83" s="9">
        <f t="shared" si="82"/>
        <v>0.45394562489147244</v>
      </c>
      <c r="CH83" s="9">
        <f t="shared" si="82"/>
        <v>0.46015494457372064</v>
      </c>
      <c r="CI83" s="9">
        <f t="shared" si="82"/>
        <v>0.46493903758560384</v>
      </c>
      <c r="CJ83" s="9">
        <f t="shared" si="82"/>
        <v>0.46692122808034708</v>
      </c>
      <c r="CK83" s="9">
        <f t="shared" si="82"/>
        <v>0.47016710144099438</v>
      </c>
      <c r="CL83" s="9">
        <f t="shared" si="82"/>
        <v>0.47280084288767066</v>
      </c>
      <c r="CM83" s="9">
        <f t="shared" si="82"/>
        <v>0.47471923950215383</v>
      </c>
      <c r="CN83" s="9">
        <f t="shared" si="82"/>
        <v>0.4761410027975142</v>
      </c>
      <c r="CO83" s="9">
        <f t="shared" si="82"/>
        <v>0.47611083266456988</v>
      </c>
      <c r="CP83" s="9">
        <f t="shared" si="82"/>
        <v>0.47660428573844543</v>
      </c>
      <c r="CQ83" s="9">
        <f t="shared" si="82"/>
        <v>0.47761249434577696</v>
      </c>
      <c r="CR83" s="9">
        <f t="shared" si="82"/>
        <v>0.48032749851640955</v>
      </c>
      <c r="CS83" s="9">
        <f t="shared" si="82"/>
        <v>0.48128249297478559</v>
      </c>
      <c r="CT83" s="9">
        <f t="shared" si="82"/>
        <v>0.48273153807379149</v>
      </c>
      <c r="CU83" s="9">
        <f t="shared" si="82"/>
        <v>0.48327254940449726</v>
      </c>
      <c r="CV83" s="9">
        <f t="shared" si="82"/>
        <v>0.48333687968732852</v>
      </c>
      <c r="CW83" s="9">
        <f t="shared" si="82"/>
        <v>0.48413267190742187</v>
      </c>
      <c r="CX83" s="9">
        <f t="shared" si="82"/>
        <v>0.48468855094167906</v>
      </c>
      <c r="CY83" s="9">
        <f t="shared" si="82"/>
        <v>0.48501072168447901</v>
      </c>
      <c r="CZ83" s="9">
        <f t="shared" si="82"/>
        <v>0.48553553630386331</v>
      </c>
      <c r="DA83" s="9">
        <f t="shared" si="82"/>
        <v>0.48627274439680146</v>
      </c>
      <c r="DB83" s="9">
        <f t="shared" si="82"/>
        <v>0.48715149384711282</v>
      </c>
      <c r="DC83" s="9">
        <f t="shared" si="82"/>
        <v>0.4879218411677998</v>
      </c>
      <c r="DD83" s="9">
        <f t="shared" si="82"/>
        <v>0.48865857937035634</v>
      </c>
      <c r="DE83" s="9">
        <f t="shared" si="82"/>
        <v>0.4894045297358553</v>
      </c>
      <c r="DF83" s="9">
        <f t="shared" si="82"/>
        <v>0.49003027215879524</v>
      </c>
      <c r="DG83" s="9">
        <f t="shared" si="82"/>
        <v>0.49025993334368123</v>
      </c>
      <c r="DH83" s="9">
        <f t="shared" si="82"/>
        <v>0.49077167305118385</v>
      </c>
      <c r="DI83" s="9">
        <f t="shared" si="82"/>
        <v>0.49107603670159966</v>
      </c>
      <c r="DJ83" s="9">
        <f t="shared" si="82"/>
        <v>0.49165381643228323</v>
      </c>
    </row>
    <row r="84" spans="1:114" x14ac:dyDescent="0.3">
      <c r="A84" t="s">
        <v>733</v>
      </c>
      <c r="B84" t="s">
        <v>686</v>
      </c>
      <c r="C84" t="s">
        <v>721</v>
      </c>
      <c r="D84">
        <v>0.14000375440000001</v>
      </c>
      <c r="E84">
        <v>0.1405580471</v>
      </c>
      <c r="F84">
        <v>0.13582626338689199</v>
      </c>
      <c r="G84">
        <v>0.14073870139787401</v>
      </c>
      <c r="H84">
        <v>0.13591461855458001</v>
      </c>
      <c r="I84">
        <v>0.13706818716702601</v>
      </c>
      <c r="J84">
        <v>0.13597484040699401</v>
      </c>
      <c r="K84">
        <v>0.134940708619985</v>
      </c>
      <c r="L84">
        <v>0.13401997352540199</v>
      </c>
      <c r="M84">
        <v>0.133455410653951</v>
      </c>
      <c r="N84">
        <v>0.132473617956336</v>
      </c>
      <c r="O84">
        <v>0.130792550697264</v>
      </c>
      <c r="P84">
        <v>0.12959346267482599</v>
      </c>
      <c r="Q84">
        <v>0.12875380540725201</v>
      </c>
      <c r="R84">
        <v>0.128432380650051</v>
      </c>
      <c r="S84">
        <v>0.12746285886939601</v>
      </c>
      <c r="T84">
        <v>0.126570114062101</v>
      </c>
      <c r="U84">
        <v>0.125455312946681</v>
      </c>
      <c r="V84">
        <v>0.124854088939347</v>
      </c>
      <c r="W84">
        <v>0.1243434431314</v>
      </c>
      <c r="X84">
        <v>0.12416290251158001</v>
      </c>
      <c r="Y84">
        <v>0.124157392292658</v>
      </c>
      <c r="Z84">
        <v>0.124127727999048</v>
      </c>
      <c r="AA84">
        <v>0.124254247384372</v>
      </c>
      <c r="AB84">
        <v>0.124663372215559</v>
      </c>
      <c r="AC84">
        <v>0.124742886414339</v>
      </c>
      <c r="AD84">
        <v>0.124857214170144</v>
      </c>
      <c r="AE84">
        <v>0.12519766603144</v>
      </c>
      <c r="AF84">
        <v>0.12569801126250901</v>
      </c>
      <c r="AG84">
        <v>0.126366397366168</v>
      </c>
      <c r="AH84">
        <v>0.12715638050029901</v>
      </c>
      <c r="AI84">
        <v>0.12812430230049399</v>
      </c>
      <c r="AJ84">
        <v>0.12929879577095199</v>
      </c>
      <c r="AK84">
        <v>0.13050993238794001</v>
      </c>
      <c r="AL84">
        <v>0.13193353048550599</v>
      </c>
      <c r="AM84">
        <v>0.13350886486868699</v>
      </c>
      <c r="AO84" t="str">
        <f t="shared" si="64"/>
        <v>Baseline uncompeted_Prospective Commercial Comfort Ctl.</v>
      </c>
      <c r="AP84" s="111"/>
      <c r="AQ84" s="111"/>
      <c r="AR84" s="111"/>
      <c r="AS84" s="111"/>
      <c r="AT84" s="111"/>
      <c r="AU84" s="209"/>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row>
    <row r="85" spans="1:114" x14ac:dyDescent="0.3">
      <c r="A85" t="s">
        <v>733</v>
      </c>
      <c r="B85" t="s">
        <v>685</v>
      </c>
      <c r="C85" t="s">
        <v>721</v>
      </c>
      <c r="D85">
        <v>0.14000375440000001</v>
      </c>
      <c r="E85">
        <v>0.1405580471</v>
      </c>
      <c r="F85">
        <v>0.13582626338689199</v>
      </c>
      <c r="G85">
        <v>0.14073870139787401</v>
      </c>
      <c r="H85">
        <v>0.13591461855458001</v>
      </c>
      <c r="I85">
        <v>0.13706818716702601</v>
      </c>
      <c r="J85">
        <v>0.13597484040699401</v>
      </c>
      <c r="K85">
        <v>0.134940708619985</v>
      </c>
      <c r="L85">
        <v>0.13401997352540199</v>
      </c>
      <c r="M85">
        <v>0.133455410653951</v>
      </c>
      <c r="N85">
        <v>0.1036552519902</v>
      </c>
      <c r="O85">
        <v>0.102341787294428</v>
      </c>
      <c r="P85">
        <v>0.101404243510534</v>
      </c>
      <c r="Q85">
        <v>0.10074667939052701</v>
      </c>
      <c r="R85">
        <v>0.100493149352747</v>
      </c>
      <c r="S85">
        <v>9.9773185431203101E-2</v>
      </c>
      <c r="T85">
        <v>9.9108755858986194E-2</v>
      </c>
      <c r="U85">
        <v>9.8266497889980306E-2</v>
      </c>
      <c r="V85">
        <v>9.7821831553465896E-2</v>
      </c>
      <c r="W85">
        <v>9.7445986648567906E-2</v>
      </c>
      <c r="X85">
        <v>9.7326182353895604E-2</v>
      </c>
      <c r="Y85">
        <v>9.7341522379731205E-2</v>
      </c>
      <c r="Z85">
        <v>9.7337259108924004E-2</v>
      </c>
      <c r="AA85">
        <v>9.7454523324239997E-2</v>
      </c>
      <c r="AB85">
        <v>9.77928510247493E-2</v>
      </c>
      <c r="AC85">
        <v>9.7902717128792699E-2</v>
      </c>
      <c r="AD85">
        <v>9.8036484403349403E-2</v>
      </c>
      <c r="AE85">
        <v>9.8344107627635194E-2</v>
      </c>
      <c r="AF85">
        <v>9.8774593661871093E-2</v>
      </c>
      <c r="AG85">
        <v>9.9334653001205198E-2</v>
      </c>
      <c r="AH85">
        <v>9.99886177110791E-2</v>
      </c>
      <c r="AI85">
        <v>0.100781509004697</v>
      </c>
      <c r="AJ85">
        <v>0.101735720175316</v>
      </c>
      <c r="AK85">
        <v>0.102718117221846</v>
      </c>
      <c r="AL85">
        <v>0.10387006423935401</v>
      </c>
      <c r="AM85">
        <v>0.105142760030941</v>
      </c>
      <c r="AO85" t="str">
        <f t="shared" si="64"/>
        <v>Efficient uncompeted_Prospective Commercial Comfort Ctl.</v>
      </c>
      <c r="AP85" s="111">
        <f t="shared" ref="AP85:BY85" si="83">(D84-D85)*293071083333.33</f>
        <v>0</v>
      </c>
      <c r="AQ85" s="111">
        <f t="shared" si="83"/>
        <v>0</v>
      </c>
      <c r="AR85" s="111">
        <f t="shared" si="83"/>
        <v>0</v>
      </c>
      <c r="AS85" s="111">
        <f t="shared" si="83"/>
        <v>0</v>
      </c>
      <c r="AT85" s="111">
        <f t="shared" si="83"/>
        <v>0</v>
      </c>
      <c r="AU85" s="209">
        <f t="shared" si="83"/>
        <v>0</v>
      </c>
      <c r="AV85" s="111">
        <f t="shared" si="83"/>
        <v>0</v>
      </c>
      <c r="AW85" s="111">
        <f t="shared" si="83"/>
        <v>0</v>
      </c>
      <c r="AX85" s="111">
        <f t="shared" si="83"/>
        <v>0</v>
      </c>
      <c r="AY85" s="111">
        <f t="shared" si="83"/>
        <v>0</v>
      </c>
      <c r="AZ85" s="111">
        <f t="shared" si="83"/>
        <v>8445829733.5918465</v>
      </c>
      <c r="BA85" s="111">
        <f t="shared" si="83"/>
        <v>8338096052.1294069</v>
      </c>
      <c r="BB85" s="111">
        <f t="shared" si="83"/>
        <v>8261444998.7997236</v>
      </c>
      <c r="BC85" s="111">
        <f t="shared" si="83"/>
        <v>8208078762.7746887</v>
      </c>
      <c r="BD85" s="111">
        <f t="shared" si="83"/>
        <v>8188180783.8013611</v>
      </c>
      <c r="BE85" s="111">
        <f t="shared" si="83"/>
        <v>8115042591.6773291</v>
      </c>
      <c r="BF85" s="111">
        <f t="shared" si="83"/>
        <v>8048129998.3914862</v>
      </c>
      <c r="BG85" s="111">
        <f t="shared" si="83"/>
        <v>7968255483.2168264</v>
      </c>
      <c r="BH85" s="111">
        <f t="shared" si="83"/>
        <v>7922372957.025588</v>
      </c>
      <c r="BI85" s="111">
        <f t="shared" si="83"/>
        <v>7882866710.3347025</v>
      </c>
      <c r="BJ85" s="111">
        <f t="shared" si="83"/>
        <v>7865066649.7259827</v>
      </c>
      <c r="BK85" s="111">
        <f t="shared" si="83"/>
        <v>7858956045.9071064</v>
      </c>
      <c r="BL85" s="111">
        <f t="shared" si="83"/>
        <v>7851511740.6365166</v>
      </c>
      <c r="BM85" s="111">
        <f t="shared" si="83"/>
        <v>7854224163.3371973</v>
      </c>
      <c r="BN85" s="111">
        <f t="shared" si="83"/>
        <v>7874972755.1217985</v>
      </c>
      <c r="BO85" s="111">
        <f t="shared" si="83"/>
        <v>7866077489.3650265</v>
      </c>
      <c r="BP85" s="111">
        <f t="shared" si="83"/>
        <v>7860380328.5449858</v>
      </c>
      <c r="BQ85" s="111">
        <f t="shared" si="83"/>
        <v>7870001452.7579241</v>
      </c>
      <c r="BR85" s="111">
        <f t="shared" si="83"/>
        <v>7890475163.2545996</v>
      </c>
      <c r="BS85" s="111">
        <f t="shared" si="83"/>
        <v>7922222605.4292889</v>
      </c>
      <c r="BT85" s="111">
        <f t="shared" si="83"/>
        <v>7962085672.3796101</v>
      </c>
      <c r="BU85" s="111">
        <f t="shared" si="83"/>
        <v>8013382052.5585365</v>
      </c>
      <c r="BV85" s="111">
        <f t="shared" si="83"/>
        <v>8077940424.8115101</v>
      </c>
      <c r="BW85" s="111">
        <f t="shared" si="83"/>
        <v>8144977378.5268431</v>
      </c>
      <c r="BX85" s="111">
        <f t="shared" si="83"/>
        <v>8224590454.8481016</v>
      </c>
      <c r="BY85" s="111">
        <f t="shared" si="83"/>
        <v>8313285074.7450294</v>
      </c>
      <c r="CA85" s="9">
        <f t="shared" ref="CA85:DJ85" si="84">(D84-D85)/D84</f>
        <v>0</v>
      </c>
      <c r="CB85" s="9">
        <f t="shared" si="84"/>
        <v>0</v>
      </c>
      <c r="CC85" s="9">
        <f t="shared" si="84"/>
        <v>0</v>
      </c>
      <c r="CD85" s="9">
        <f t="shared" si="84"/>
        <v>0</v>
      </c>
      <c r="CE85" s="9">
        <f t="shared" si="84"/>
        <v>0</v>
      </c>
      <c r="CF85" s="9">
        <f t="shared" si="84"/>
        <v>0</v>
      </c>
      <c r="CG85" s="9">
        <f t="shared" si="84"/>
        <v>0</v>
      </c>
      <c r="CH85" s="9">
        <f t="shared" si="84"/>
        <v>0</v>
      </c>
      <c r="CI85" s="9">
        <f t="shared" si="84"/>
        <v>0</v>
      </c>
      <c r="CJ85" s="9">
        <f t="shared" si="84"/>
        <v>0</v>
      </c>
      <c r="CK85" s="9">
        <f t="shared" si="84"/>
        <v>0.21754041605200733</v>
      </c>
      <c r="CL85" s="9">
        <f t="shared" si="84"/>
        <v>0.21752587017504471</v>
      </c>
      <c r="CM85" s="9">
        <f t="shared" si="84"/>
        <v>0.21752037936530774</v>
      </c>
      <c r="CN85" s="9">
        <f t="shared" si="84"/>
        <v>0.2175246465775334</v>
      </c>
      <c r="CO85" s="9">
        <f t="shared" si="84"/>
        <v>0.21754039873660866</v>
      </c>
      <c r="CP85" s="9">
        <f t="shared" si="84"/>
        <v>0.21723719116142651</v>
      </c>
      <c r="CQ85" s="9">
        <f t="shared" si="84"/>
        <v>0.21696557996021895</v>
      </c>
      <c r="CR85" s="9">
        <f t="shared" si="84"/>
        <v>0.21672111302497046</v>
      </c>
      <c r="CS85" s="9">
        <f t="shared" si="84"/>
        <v>0.21651078963872089</v>
      </c>
      <c r="CT85" s="9">
        <f t="shared" si="84"/>
        <v>0.21631584107260238</v>
      </c>
      <c r="CU85" s="9">
        <f t="shared" si="84"/>
        <v>0.21614121138301745</v>
      </c>
      <c r="CV85" s="9">
        <f t="shared" si="84"/>
        <v>0.21598286995040683</v>
      </c>
      <c r="CW85" s="9">
        <f t="shared" si="84"/>
        <v>0.21582984980059788</v>
      </c>
      <c r="CX85" s="9">
        <f t="shared" si="84"/>
        <v>0.21568457114571624</v>
      </c>
      <c r="CY85" s="9">
        <f t="shared" si="84"/>
        <v>0.21554463603268417</v>
      </c>
      <c r="CZ85" s="9">
        <f t="shared" si="84"/>
        <v>0.21516392683423646</v>
      </c>
      <c r="DA85" s="9">
        <f t="shared" si="84"/>
        <v>0.21481121411411408</v>
      </c>
      <c r="DB85" s="9">
        <f t="shared" si="84"/>
        <v>0.21448928925768684</v>
      </c>
      <c r="DC85" s="9">
        <f t="shared" si="84"/>
        <v>0.21419127741337751</v>
      </c>
      <c r="DD85" s="9">
        <f t="shared" si="84"/>
        <v>0.2139156051638772</v>
      </c>
      <c r="DE85" s="9">
        <f t="shared" si="84"/>
        <v>0.21365630794402821</v>
      </c>
      <c r="DF85" s="9">
        <f t="shared" si="84"/>
        <v>0.21340832929313494</v>
      </c>
      <c r="DG85" s="9">
        <f t="shared" si="84"/>
        <v>0.21317349037390074</v>
      </c>
      <c r="DH85" s="9">
        <f t="shared" si="84"/>
        <v>0.21294789337169376</v>
      </c>
      <c r="DI85" s="9">
        <f t="shared" si="84"/>
        <v>0.21270912817143925</v>
      </c>
      <c r="DJ85" s="9">
        <f t="shared" si="84"/>
        <v>0.2124660775570637</v>
      </c>
    </row>
    <row r="86" spans="1:114" x14ac:dyDescent="0.3">
      <c r="A86" t="s">
        <v>732</v>
      </c>
      <c r="B86" t="s">
        <v>686</v>
      </c>
      <c r="C86" t="s">
        <v>704</v>
      </c>
      <c r="D86">
        <v>0.28545821760000001</v>
      </c>
      <c r="E86">
        <v>0.27261435630000003</v>
      </c>
      <c r="F86">
        <v>0.25823186108857099</v>
      </c>
      <c r="G86">
        <v>0.30662675646923099</v>
      </c>
      <c r="H86">
        <v>0.30232254438114298</v>
      </c>
      <c r="I86">
        <v>0.29586844772666698</v>
      </c>
      <c r="J86">
        <v>0.29616660608000001</v>
      </c>
      <c r="K86">
        <v>0.295982379982275</v>
      </c>
      <c r="L86">
        <v>0.29520050244153401</v>
      </c>
      <c r="M86">
        <v>0.29389272661196603</v>
      </c>
      <c r="N86">
        <v>0.29275180407231699</v>
      </c>
      <c r="O86">
        <v>0.29228938047178599</v>
      </c>
      <c r="P86">
        <v>0.29265162005750001</v>
      </c>
      <c r="Q86">
        <v>0.29319570407739698</v>
      </c>
      <c r="R86">
        <v>0.29390757686750002</v>
      </c>
      <c r="S86">
        <v>0.29467527721333298</v>
      </c>
      <c r="T86">
        <v>0.29561833528507198</v>
      </c>
      <c r="U86">
        <v>0.29636747439095201</v>
      </c>
      <c r="V86">
        <v>0.29690313802428597</v>
      </c>
      <c r="W86">
        <v>0.29756664066440403</v>
      </c>
      <c r="X86">
        <v>0.29828685837284602</v>
      </c>
      <c r="Y86">
        <v>0.29891047548636401</v>
      </c>
      <c r="Z86">
        <v>0.29956068578095202</v>
      </c>
      <c r="AA86">
        <v>0.30037576412037298</v>
      </c>
      <c r="AB86">
        <v>0.30126217183855503</v>
      </c>
      <c r="AC86">
        <v>0.30206550025142798</v>
      </c>
      <c r="AD86">
        <v>0.30289685347870099</v>
      </c>
      <c r="AE86">
        <v>0.30375164655012998</v>
      </c>
      <c r="AF86">
        <v>0.30448790492155797</v>
      </c>
      <c r="AG86">
        <v>0.305176714949697</v>
      </c>
      <c r="AH86">
        <v>0.30583093825922097</v>
      </c>
      <c r="AI86">
        <v>0.306520714487792</v>
      </c>
      <c r="AJ86">
        <v>0.30715276368779199</v>
      </c>
      <c r="AK86">
        <v>0.30774826569428598</v>
      </c>
      <c r="AL86">
        <v>0.30815931149428599</v>
      </c>
      <c r="AM86">
        <v>0.30865064827619099</v>
      </c>
      <c r="AO86" t="str">
        <f t="shared" si="64"/>
        <v>Baseline uncompeted_Prospective Commercial Integrated NGHP</v>
      </c>
      <c r="AP86" s="111"/>
      <c r="AQ86" s="111"/>
      <c r="AR86" s="111"/>
      <c r="AS86" s="111"/>
      <c r="AT86" s="111"/>
      <c r="AU86" s="209"/>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row>
    <row r="87" spans="1:114" x14ac:dyDescent="0.3">
      <c r="A87" t="s">
        <v>732</v>
      </c>
      <c r="B87" t="s">
        <v>685</v>
      </c>
      <c r="C87" t="s">
        <v>704</v>
      </c>
      <c r="D87">
        <v>0.28545821760000001</v>
      </c>
      <c r="E87">
        <v>0.27261435630000003</v>
      </c>
      <c r="F87">
        <v>0.25823186108857099</v>
      </c>
      <c r="G87">
        <v>0.30662675646923099</v>
      </c>
      <c r="H87">
        <v>0.30232254438114298</v>
      </c>
      <c r="I87">
        <v>0.16568633072693301</v>
      </c>
      <c r="J87">
        <v>0.16588876070716499</v>
      </c>
      <c r="K87">
        <v>0.16584972470471199</v>
      </c>
      <c r="L87">
        <v>0.16550109603084101</v>
      </c>
      <c r="M87">
        <v>0.16487760552570199</v>
      </c>
      <c r="N87">
        <v>0.164362963229367</v>
      </c>
      <c r="O87">
        <v>0.16424198964232201</v>
      </c>
      <c r="P87">
        <v>0.16459392884396801</v>
      </c>
      <c r="Q87">
        <v>0.16505579197287801</v>
      </c>
      <c r="R87">
        <v>0.16561758099172899</v>
      </c>
      <c r="S87">
        <v>0.16621481079190101</v>
      </c>
      <c r="T87">
        <v>0.166913428577325</v>
      </c>
      <c r="U87">
        <v>0.167503445139148</v>
      </c>
      <c r="V87">
        <v>0.16797272787755099</v>
      </c>
      <c r="W87">
        <v>0.168512648589041</v>
      </c>
      <c r="X87">
        <v>0.169082728394889</v>
      </c>
      <c r="Y87">
        <v>0.16959547183033799</v>
      </c>
      <c r="Z87">
        <v>0.170119698762733</v>
      </c>
      <c r="AA87">
        <v>0.17073395872674699</v>
      </c>
      <c r="AB87">
        <v>0.17138502165200301</v>
      </c>
      <c r="AC87">
        <v>0.171985197827314</v>
      </c>
      <c r="AD87">
        <v>0.17259748496411101</v>
      </c>
      <c r="AE87">
        <v>0.17321859485810501</v>
      </c>
      <c r="AF87">
        <v>0.17376781239747</v>
      </c>
      <c r="AG87">
        <v>0.17428547662531599</v>
      </c>
      <c r="AH87">
        <v>0.17477923713528601</v>
      </c>
      <c r="AI87">
        <v>0.17528893266114001</v>
      </c>
      <c r="AJ87">
        <v>0.175762053191057</v>
      </c>
      <c r="AK87">
        <v>0.176209804864569</v>
      </c>
      <c r="AL87">
        <v>0.176548015273813</v>
      </c>
      <c r="AM87">
        <v>0.17692809988470501</v>
      </c>
      <c r="AO87" t="str">
        <f t="shared" si="64"/>
        <v>Efficient uncompeted_Prospective Commercial Integrated NGHP</v>
      </c>
      <c r="AP87" s="111">
        <f t="shared" ref="AP87:BY87" si="85">(D86-D87)*293071083333.33</f>
        <v>0</v>
      </c>
      <c r="AQ87" s="111">
        <f t="shared" si="85"/>
        <v>0</v>
      </c>
      <c r="AR87" s="111">
        <f t="shared" si="85"/>
        <v>0</v>
      </c>
      <c r="AS87" s="111">
        <f t="shared" si="85"/>
        <v>0</v>
      </c>
      <c r="AT87" s="111">
        <f t="shared" si="85"/>
        <v>0</v>
      </c>
      <c r="AU87" s="209">
        <f t="shared" si="85"/>
        <v>38152614059.738358</v>
      </c>
      <c r="AV87" s="111">
        <f t="shared" si="85"/>
        <v>38180669277.74881</v>
      </c>
      <c r="AW87" s="111">
        <f t="shared" si="85"/>
        <v>38138118259.238182</v>
      </c>
      <c r="AX87" s="111">
        <f t="shared" si="85"/>
        <v>38011145544.471642</v>
      </c>
      <c r="AY87" s="111">
        <f t="shared" si="85"/>
        <v>37810601303.132149</v>
      </c>
      <c r="AZ87" s="111">
        <f t="shared" si="85"/>
        <v>37627056673.753845</v>
      </c>
      <c r="BA87" s="111">
        <f t="shared" si="85"/>
        <v>37526987548.397316</v>
      </c>
      <c r="BB87" s="111">
        <f t="shared" si="85"/>
        <v>37530006293.114876</v>
      </c>
      <c r="BC87" s="111">
        <f t="shared" si="85"/>
        <v>37554102858.709061</v>
      </c>
      <c r="BD87" s="111">
        <f t="shared" si="85"/>
        <v>37598088072.140656</v>
      </c>
      <c r="BE87" s="111">
        <f t="shared" si="85"/>
        <v>37648048059.633934</v>
      </c>
      <c r="BF87" s="111">
        <f t="shared" si="85"/>
        <v>37719686439.154579</v>
      </c>
      <c r="BG87" s="111">
        <f t="shared" si="85"/>
        <v>37766320655.524132</v>
      </c>
      <c r="BH87" s="111">
        <f t="shared" si="85"/>
        <v>37785774976.314186</v>
      </c>
      <c r="BI87" s="111">
        <f t="shared" si="85"/>
        <v>37821993266.017632</v>
      </c>
      <c r="BJ87" s="111">
        <f t="shared" si="85"/>
        <v>37865994343.780243</v>
      </c>
      <c r="BK87" s="111">
        <f t="shared" si="85"/>
        <v>37898488212.725075</v>
      </c>
      <c r="BL87" s="111">
        <f t="shared" si="85"/>
        <v>37935410293.164955</v>
      </c>
      <c r="BM87" s="111">
        <f t="shared" si="85"/>
        <v>37994264351.998718</v>
      </c>
      <c r="BN87" s="111">
        <f t="shared" si="85"/>
        <v>38063237105.418404</v>
      </c>
      <c r="BO87" s="111">
        <f t="shared" si="85"/>
        <v>38122775151.762276</v>
      </c>
      <c r="BP87" s="111">
        <f t="shared" si="85"/>
        <v>38186977088.219681</v>
      </c>
      <c r="BQ87" s="111">
        <f t="shared" si="85"/>
        <v>38255462870.187325</v>
      </c>
      <c r="BR87" s="111">
        <f t="shared" si="85"/>
        <v>38310279129.467598</v>
      </c>
      <c r="BS87" s="111">
        <f t="shared" si="85"/>
        <v>38360437014.567429</v>
      </c>
      <c r="BT87" s="111">
        <f t="shared" si="85"/>
        <v>38407464021.067406</v>
      </c>
      <c r="BU87" s="111">
        <f t="shared" si="85"/>
        <v>38460240467.700111</v>
      </c>
      <c r="BV87" s="111">
        <f t="shared" si="85"/>
        <v>38506817865.214058</v>
      </c>
      <c r="BW87" s="111">
        <f t="shared" si="85"/>
        <v>38550119215.363953</v>
      </c>
      <c r="BX87" s="111">
        <f t="shared" si="85"/>
        <v>38571465162.237823</v>
      </c>
      <c r="BY87" s="111">
        <f t="shared" si="85"/>
        <v>38604069956.519783</v>
      </c>
      <c r="CA87" s="9">
        <f t="shared" ref="CA87:DJ87" si="86">(D86-D87)/D86</f>
        <v>0</v>
      </c>
      <c r="CB87" s="9">
        <f t="shared" si="86"/>
        <v>0</v>
      </c>
      <c r="CC87" s="9">
        <f t="shared" si="86"/>
        <v>0</v>
      </c>
      <c r="CD87" s="9">
        <f t="shared" si="86"/>
        <v>0</v>
      </c>
      <c r="CE87" s="9">
        <f t="shared" si="86"/>
        <v>0</v>
      </c>
      <c r="CF87" s="9">
        <f t="shared" si="86"/>
        <v>0.44000000000000172</v>
      </c>
      <c r="CG87" s="9">
        <f t="shared" si="86"/>
        <v>0.43988026569627703</v>
      </c>
      <c r="CH87" s="9">
        <f t="shared" si="86"/>
        <v>0.4396635207992991</v>
      </c>
      <c r="CI87" s="9">
        <f t="shared" si="86"/>
        <v>0.43936038501960423</v>
      </c>
      <c r="CJ87" s="9">
        <f t="shared" si="86"/>
        <v>0.43898711810110885</v>
      </c>
      <c r="CK87" s="9">
        <f t="shared" si="86"/>
        <v>0.43855866661451809</v>
      </c>
      <c r="CL87" s="9">
        <f t="shared" si="86"/>
        <v>0.43808430748589616</v>
      </c>
      <c r="CM87" s="9">
        <f t="shared" si="86"/>
        <v>0.43757725034418504</v>
      </c>
      <c r="CN87" s="9">
        <f t="shared" si="86"/>
        <v>0.43704566718580895</v>
      </c>
      <c r="CO87" s="9">
        <f t="shared" si="86"/>
        <v>0.43649774954120008</v>
      </c>
      <c r="CP87" s="9">
        <f t="shared" si="86"/>
        <v>0.43593907041082308</v>
      </c>
      <c r="CQ87" s="9">
        <f t="shared" si="86"/>
        <v>0.43537525026529122</v>
      </c>
      <c r="CR87" s="9">
        <f t="shared" si="86"/>
        <v>0.43481164563225155</v>
      </c>
      <c r="CS87" s="9">
        <f t="shared" si="86"/>
        <v>0.43425074926688306</v>
      </c>
      <c r="CT87" s="9">
        <f t="shared" si="86"/>
        <v>0.43369778207400023</v>
      </c>
      <c r="CU87" s="9">
        <f t="shared" si="86"/>
        <v>0.43315394678386165</v>
      </c>
      <c r="CV87" s="9">
        <f t="shared" si="86"/>
        <v>0.43262118346844369</v>
      </c>
      <c r="CW87" s="9">
        <f t="shared" si="86"/>
        <v>0.43210271962346303</v>
      </c>
      <c r="CX87" s="9">
        <f t="shared" si="86"/>
        <v>0.43159875355880301</v>
      </c>
      <c r="CY87" s="9">
        <f t="shared" si="86"/>
        <v>0.43111005073731118</v>
      </c>
      <c r="CZ87" s="9">
        <f t="shared" si="86"/>
        <v>0.43063607832023193</v>
      </c>
      <c r="DA87" s="9">
        <f t="shared" si="86"/>
        <v>0.43017735911790295</v>
      </c>
      <c r="DB87" s="9">
        <f t="shared" si="86"/>
        <v>0.42973611229620878</v>
      </c>
      <c r="DC87" s="9">
        <f t="shared" si="86"/>
        <v>0.42931128104337685</v>
      </c>
      <c r="DD87" s="9">
        <f t="shared" si="86"/>
        <v>0.42890309749207478</v>
      </c>
      <c r="DE87" s="9">
        <f t="shared" si="86"/>
        <v>0.42851028045061978</v>
      </c>
      <c r="DF87" s="9">
        <f t="shared" si="86"/>
        <v>0.42813348535333212</v>
      </c>
      <c r="DG87" s="9">
        <f t="shared" si="86"/>
        <v>0.42776991136009501</v>
      </c>
      <c r="DH87" s="9">
        <f t="shared" si="86"/>
        <v>0.42742226518470772</v>
      </c>
      <c r="DI87" s="9">
        <f t="shared" si="86"/>
        <v>0.42708849387766551</v>
      </c>
      <c r="DJ87" s="9">
        <f t="shared" si="86"/>
        <v>0.42676906440065598</v>
      </c>
    </row>
    <row r="88" spans="1:114" x14ac:dyDescent="0.3">
      <c r="A88" t="s">
        <v>731</v>
      </c>
      <c r="B88" t="s">
        <v>686</v>
      </c>
      <c r="C88" t="s">
        <v>696</v>
      </c>
      <c r="D88">
        <v>0.20447789890000001</v>
      </c>
      <c r="E88">
        <v>0.18937641960000001</v>
      </c>
      <c r="F88">
        <v>0.17397800488857099</v>
      </c>
      <c r="G88">
        <v>0.221090096069231</v>
      </c>
      <c r="H88">
        <v>0.215630607581143</v>
      </c>
      <c r="I88">
        <v>0.208281018526667</v>
      </c>
      <c r="J88">
        <v>0.20796680238000001</v>
      </c>
      <c r="K88">
        <v>0.207303899382275</v>
      </c>
      <c r="L88">
        <v>0.206213910741534</v>
      </c>
      <c r="M88">
        <v>0.20472754081196601</v>
      </c>
      <c r="N88">
        <v>0.20336047257231701</v>
      </c>
      <c r="O88">
        <v>0.20242276217178601</v>
      </c>
      <c r="P88">
        <v>0.2020715625575</v>
      </c>
      <c r="Q88">
        <v>0.20181315087739701</v>
      </c>
      <c r="R88">
        <v>0.20169351696749999</v>
      </c>
      <c r="S88">
        <v>0.20159437161333299</v>
      </c>
      <c r="T88">
        <v>0.20159838528507201</v>
      </c>
      <c r="U88">
        <v>0.20148254219095199</v>
      </c>
      <c r="V88">
        <v>0.201204827724286</v>
      </c>
      <c r="W88">
        <v>0.20103521816440401</v>
      </c>
      <c r="X88">
        <v>0.20090297997284601</v>
      </c>
      <c r="Y88">
        <v>0.20069585848636401</v>
      </c>
      <c r="Z88">
        <v>0.20053225978095199</v>
      </c>
      <c r="AA88">
        <v>0.20048057552037299</v>
      </c>
      <c r="AB88">
        <v>0.20047505603855401</v>
      </c>
      <c r="AC88">
        <v>0.20040278755142901</v>
      </c>
      <c r="AD88">
        <v>0.200336280478701</v>
      </c>
      <c r="AE88">
        <v>0.20030798875013001</v>
      </c>
      <c r="AF88">
        <v>0.20020514952155799</v>
      </c>
      <c r="AG88">
        <v>0.200074147049697</v>
      </c>
      <c r="AH88">
        <v>0.19992079395922099</v>
      </c>
      <c r="AI88">
        <v>0.19979415318779201</v>
      </c>
      <c r="AJ88">
        <v>0.19960499018779199</v>
      </c>
      <c r="AK88">
        <v>0.19941743389428601</v>
      </c>
      <c r="AL88">
        <v>0.19910936759428599</v>
      </c>
      <c r="AM88">
        <v>0.19886964647618999</v>
      </c>
      <c r="AO88" t="str">
        <f t="shared" si="64"/>
        <v>Baseline uncompeted_Prospective Commercial Natural Gas HP</v>
      </c>
      <c r="AP88" s="111"/>
      <c r="AQ88" s="111"/>
      <c r="AR88" s="111"/>
      <c r="AS88" s="111"/>
      <c r="AT88" s="111"/>
      <c r="AU88" s="209"/>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row>
    <row r="89" spans="1:114" x14ac:dyDescent="0.3">
      <c r="A89" t="s">
        <v>731</v>
      </c>
      <c r="B89" t="s">
        <v>685</v>
      </c>
      <c r="C89" t="s">
        <v>696</v>
      </c>
      <c r="D89">
        <v>0.20447789890000001</v>
      </c>
      <c r="E89">
        <v>0.18937641960000001</v>
      </c>
      <c r="F89">
        <v>0.17397800488857099</v>
      </c>
      <c r="G89">
        <v>0.221090096069231</v>
      </c>
      <c r="H89">
        <v>0.215630607581143</v>
      </c>
      <c r="I89">
        <v>0.122894656329589</v>
      </c>
      <c r="J89">
        <v>0.122631788185768</v>
      </c>
      <c r="K89">
        <v>0.122174744874448</v>
      </c>
      <c r="L89">
        <v>0.121473646917462</v>
      </c>
      <c r="M89">
        <v>0.120549631869276</v>
      </c>
      <c r="N89">
        <v>0.119702882021688</v>
      </c>
      <c r="O89">
        <v>0.1191172134223</v>
      </c>
      <c r="P89">
        <v>0.118884245528858</v>
      </c>
      <c r="Q89">
        <v>0.118713631031446</v>
      </c>
      <c r="R89">
        <v>0.118628842165364</v>
      </c>
      <c r="S89">
        <v>0.118560086575055</v>
      </c>
      <c r="T89">
        <v>0.118557645124826</v>
      </c>
      <c r="U89">
        <v>0.118487209469538</v>
      </c>
      <c r="V89">
        <v>0.11832853571447199</v>
      </c>
      <c r="W89">
        <v>0.118232913916535</v>
      </c>
      <c r="X89">
        <v>0.11816568919536</v>
      </c>
      <c r="Y89">
        <v>0.11805430397934701</v>
      </c>
      <c r="Z89">
        <v>0.117972213432866</v>
      </c>
      <c r="AA89">
        <v>0.117956120198283</v>
      </c>
      <c r="AB89">
        <v>0.11797046061301</v>
      </c>
      <c r="AC89">
        <v>0.11794816397328001</v>
      </c>
      <c r="AD89">
        <v>0.11792799109842</v>
      </c>
      <c r="AE89">
        <v>0.117933831698118</v>
      </c>
      <c r="AF89">
        <v>0.117897372561082</v>
      </c>
      <c r="AG89">
        <v>0.117842948687831</v>
      </c>
      <c r="AH89">
        <v>0.117776745574431</v>
      </c>
      <c r="AI89">
        <v>0.11772776179932599</v>
      </c>
      <c r="AJ89">
        <v>0.11764301934863</v>
      </c>
      <c r="AK89">
        <v>0.117559169201681</v>
      </c>
      <c r="AL89">
        <v>0.117408145154588</v>
      </c>
      <c r="AM89">
        <v>0.117294427944584</v>
      </c>
      <c r="AO89" t="str">
        <f t="shared" si="64"/>
        <v>Efficient uncompeted_Prospective Commercial Natural Gas HP</v>
      </c>
      <c r="AP89" s="111">
        <f t="shared" ref="AP89:BY89" si="87">(D88-D89)*293071083333.33</f>
        <v>0</v>
      </c>
      <c r="AQ89" s="111">
        <f t="shared" si="87"/>
        <v>0</v>
      </c>
      <c r="AR89" s="111">
        <f t="shared" si="87"/>
        <v>0</v>
      </c>
      <c r="AS89" s="111">
        <f t="shared" si="87"/>
        <v>0</v>
      </c>
      <c r="AT89" s="111">
        <f t="shared" si="87"/>
        <v>0</v>
      </c>
      <c r="AU89" s="209">
        <f t="shared" si="87"/>
        <v>25024273670.989746</v>
      </c>
      <c r="AV89" s="111">
        <f t="shared" si="87"/>
        <v>25009225056.168667</v>
      </c>
      <c r="AW89" s="111">
        <f t="shared" si="87"/>
        <v>24948893534.859295</v>
      </c>
      <c r="AX89" s="111">
        <f t="shared" si="87"/>
        <v>24834920920.872978</v>
      </c>
      <c r="AY89" s="111">
        <f t="shared" si="87"/>
        <v>24670110966.568569</v>
      </c>
      <c r="AZ89" s="111">
        <f t="shared" si="87"/>
        <v>24517620691.729</v>
      </c>
      <c r="BA89" s="111">
        <f t="shared" si="87"/>
        <v>24414447419.6894</v>
      </c>
      <c r="BB89" s="111">
        <f t="shared" si="87"/>
        <v>24379797121.177284</v>
      </c>
      <c r="BC89" s="111">
        <f t="shared" si="87"/>
        <v>24354066305.732422</v>
      </c>
      <c r="BD89" s="111">
        <f t="shared" si="87"/>
        <v>24343854230.992756</v>
      </c>
      <c r="BE89" s="111">
        <f t="shared" si="87"/>
        <v>24334947869.976646</v>
      </c>
      <c r="BF89" s="111">
        <f t="shared" si="87"/>
        <v>24336839679.564865</v>
      </c>
      <c r="BG89" s="111">
        <f t="shared" si="87"/>
        <v>24323532072.274971</v>
      </c>
      <c r="BH89" s="111">
        <f t="shared" si="87"/>
        <v>24288644681.965591</v>
      </c>
      <c r="BI89" s="111">
        <f t="shared" si="87"/>
        <v>24266961008.418964</v>
      </c>
      <c r="BJ89" s="111">
        <f t="shared" si="87"/>
        <v>24247907440.222561</v>
      </c>
      <c r="BK89" s="111">
        <f t="shared" si="87"/>
        <v>24219849907.721916</v>
      </c>
      <c r="BL89" s="111">
        <f t="shared" si="87"/>
        <v>24195962223.283497</v>
      </c>
      <c r="BM89" s="111">
        <f t="shared" si="87"/>
        <v>24185531522.737904</v>
      </c>
      <c r="BN89" s="111">
        <f t="shared" si="87"/>
        <v>24179711161.342285</v>
      </c>
      <c r="BO89" s="111">
        <f t="shared" si="87"/>
        <v>24165065857.890064</v>
      </c>
      <c r="BP89" s="111">
        <f t="shared" si="87"/>
        <v>24151486644.325508</v>
      </c>
      <c r="BQ89" s="111">
        <f t="shared" si="87"/>
        <v>24141483445.903027</v>
      </c>
      <c r="BR89" s="111">
        <f t="shared" si="87"/>
        <v>24122029360.5648</v>
      </c>
      <c r="BS89" s="111">
        <f t="shared" si="87"/>
        <v>24099586387.710022</v>
      </c>
      <c r="BT89" s="111">
        <f t="shared" si="87"/>
        <v>24074045249.515881</v>
      </c>
      <c r="BU89" s="111">
        <f t="shared" si="87"/>
        <v>24051286229.4748</v>
      </c>
      <c r="BV89" s="111">
        <f t="shared" si="87"/>
        <v>24020683585.968006</v>
      </c>
      <c r="BW89" s="111">
        <f t="shared" si="87"/>
        <v>23990290313.24823</v>
      </c>
      <c r="BX89" s="111">
        <f t="shared" si="87"/>
        <v>23944265770.059662</v>
      </c>
      <c r="BY89" s="111">
        <f t="shared" si="87"/>
        <v>23907337668.210907</v>
      </c>
      <c r="CA89" s="9">
        <f t="shared" ref="CA89:DJ89" si="88">(D88-D89)/D88</f>
        <v>0</v>
      </c>
      <c r="CB89" s="9">
        <f t="shared" si="88"/>
        <v>0</v>
      </c>
      <c r="CC89" s="9">
        <f t="shared" si="88"/>
        <v>0</v>
      </c>
      <c r="CD89" s="9">
        <f t="shared" si="88"/>
        <v>0</v>
      </c>
      <c r="CE89" s="9">
        <f t="shared" si="88"/>
        <v>0</v>
      </c>
      <c r="CF89" s="9">
        <f t="shared" si="88"/>
        <v>0.40995748340910704</v>
      </c>
      <c r="CG89" s="9">
        <f t="shared" si="88"/>
        <v>0.41032998160113365</v>
      </c>
      <c r="CH89" s="9">
        <f t="shared" si="88"/>
        <v>0.41064907491607827</v>
      </c>
      <c r="CI89" s="9">
        <f t="shared" si="88"/>
        <v>0.41093378967185396</v>
      </c>
      <c r="CJ89" s="9">
        <f t="shared" si="88"/>
        <v>0.41117042000716464</v>
      </c>
      <c r="CK89" s="9">
        <f t="shared" si="88"/>
        <v>0.41137586617713795</v>
      </c>
      <c r="CL89" s="9">
        <f t="shared" si="88"/>
        <v>0.41154239698986411</v>
      </c>
      <c r="CM89" s="9">
        <f t="shared" si="88"/>
        <v>0.41167255785915363</v>
      </c>
      <c r="CN89" s="9">
        <f t="shared" si="88"/>
        <v>0.41176464211905889</v>
      </c>
      <c r="CO89" s="9">
        <f t="shared" si="88"/>
        <v>0.41183611675292797</v>
      </c>
      <c r="CP89" s="9">
        <f t="shared" si="88"/>
        <v>0.41188791320792162</v>
      </c>
      <c r="CQ89" s="9">
        <f t="shared" si="88"/>
        <v>0.41191173254101965</v>
      </c>
      <c r="CR89" s="9">
        <f t="shared" si="88"/>
        <v>0.41192319601941707</v>
      </c>
      <c r="CS89" s="9">
        <f t="shared" si="88"/>
        <v>0.41190011664819809</v>
      </c>
      <c r="CT89" s="9">
        <f t="shared" si="88"/>
        <v>0.4118795950476416</v>
      </c>
      <c r="CU89" s="9">
        <f t="shared" si="88"/>
        <v>0.41182709578856802</v>
      </c>
      <c r="CV89" s="9">
        <f t="shared" si="88"/>
        <v>0.41177508659269102</v>
      </c>
      <c r="CW89" s="9">
        <f t="shared" si="88"/>
        <v>0.41170456283826379</v>
      </c>
      <c r="CX89" s="9">
        <f t="shared" si="88"/>
        <v>0.41163317248011289</v>
      </c>
      <c r="CY89" s="9">
        <f t="shared" si="88"/>
        <v>0.41154544139235594</v>
      </c>
      <c r="CZ89" s="9">
        <f t="shared" si="88"/>
        <v>0.41144449428872748</v>
      </c>
      <c r="DA89" s="9">
        <f t="shared" si="88"/>
        <v>0.41134980235915047</v>
      </c>
      <c r="DB89" s="9">
        <f t="shared" si="88"/>
        <v>0.41123750263783998</v>
      </c>
      <c r="DC89" s="9">
        <f t="shared" si="88"/>
        <v>0.41111718233607736</v>
      </c>
      <c r="DD89" s="9">
        <f t="shared" si="88"/>
        <v>0.41100361828077842</v>
      </c>
      <c r="DE89" s="9">
        <f t="shared" si="88"/>
        <v>0.4108829639879551</v>
      </c>
      <c r="DF89" s="9">
        <f t="shared" si="88"/>
        <v>0.41075471969056854</v>
      </c>
      <c r="DG89" s="9">
        <f t="shared" si="88"/>
        <v>0.41062085052107505</v>
      </c>
      <c r="DH89" s="9">
        <f t="shared" si="88"/>
        <v>0.41048700253559189</v>
      </c>
      <c r="DI89" s="9">
        <f t="shared" si="88"/>
        <v>0.41033339328451884</v>
      </c>
      <c r="DJ89" s="9">
        <f t="shared" si="88"/>
        <v>0.41019441617689362</v>
      </c>
    </row>
    <row r="90" spans="1:114" x14ac:dyDescent="0.3">
      <c r="A90" t="s">
        <v>730</v>
      </c>
      <c r="B90" t="s">
        <v>686</v>
      </c>
      <c r="C90" t="s">
        <v>22</v>
      </c>
      <c r="D90">
        <v>8.0980318699999998E-2</v>
      </c>
      <c r="E90">
        <v>8.3237936700000001E-2</v>
      </c>
      <c r="F90">
        <v>8.4253856200000005E-2</v>
      </c>
      <c r="G90">
        <v>8.5536660400000006E-2</v>
      </c>
      <c r="H90">
        <v>8.6691936799999994E-2</v>
      </c>
      <c r="I90">
        <v>8.7587429199999997E-2</v>
      </c>
      <c r="J90">
        <v>8.8199803699999996E-2</v>
      </c>
      <c r="K90">
        <v>8.8678480599999998E-2</v>
      </c>
      <c r="L90">
        <v>8.8986591700000006E-2</v>
      </c>
      <c r="M90">
        <v>8.9165185800000005E-2</v>
      </c>
      <c r="N90">
        <v>8.9391331500000004E-2</v>
      </c>
      <c r="O90">
        <v>8.9866618300000006E-2</v>
      </c>
      <c r="P90">
        <v>9.0580057500000005E-2</v>
      </c>
      <c r="Q90">
        <v>9.1382553199999994E-2</v>
      </c>
      <c r="R90">
        <v>9.2214059900000006E-2</v>
      </c>
      <c r="S90">
        <v>9.30809056E-2</v>
      </c>
      <c r="T90">
        <v>9.4019950000000005E-2</v>
      </c>
      <c r="U90">
        <v>9.4884932199999994E-2</v>
      </c>
      <c r="V90">
        <v>9.5698310300000006E-2</v>
      </c>
      <c r="W90">
        <v>9.6531422500000005E-2</v>
      </c>
      <c r="X90">
        <v>9.7383878399999999E-2</v>
      </c>
      <c r="Y90">
        <v>9.8214617000000004E-2</v>
      </c>
      <c r="Z90">
        <v>9.9028426000000003E-2</v>
      </c>
      <c r="AA90">
        <v>9.9895188600000004E-2</v>
      </c>
      <c r="AB90">
        <v>0.10078711579999999</v>
      </c>
      <c r="AC90">
        <v>0.1016627127</v>
      </c>
      <c r="AD90">
        <v>0.102560573</v>
      </c>
      <c r="AE90">
        <v>0.10344365780000001</v>
      </c>
      <c r="AF90">
        <v>0.1042827554</v>
      </c>
      <c r="AG90">
        <v>0.1051025679</v>
      </c>
      <c r="AH90">
        <v>0.10591014429999999</v>
      </c>
      <c r="AI90">
        <v>0.10672656129999999</v>
      </c>
      <c r="AJ90">
        <v>0.1075477735</v>
      </c>
      <c r="AK90">
        <v>0.1083308318</v>
      </c>
      <c r="AL90">
        <v>0.1090499439</v>
      </c>
      <c r="AM90">
        <v>0.1097810018</v>
      </c>
      <c r="AO90" t="str">
        <f t="shared" si="64"/>
        <v>Baseline uncompeted_Prospective Commercial NG Sorption HPWH</v>
      </c>
      <c r="AP90" s="111"/>
      <c r="AQ90" s="111"/>
      <c r="AR90" s="111"/>
      <c r="AS90" s="111"/>
      <c r="AT90" s="111"/>
      <c r="AU90" s="209"/>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1"/>
      <c r="BR90" s="111"/>
      <c r="BS90" s="111"/>
      <c r="BT90" s="111"/>
      <c r="BU90" s="111"/>
      <c r="BV90" s="111"/>
      <c r="BW90" s="111"/>
      <c r="BX90" s="111"/>
      <c r="BY90" s="111"/>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row>
    <row r="91" spans="1:114" x14ac:dyDescent="0.3">
      <c r="A91" t="s">
        <v>730</v>
      </c>
      <c r="B91" t="s">
        <v>685</v>
      </c>
      <c r="C91" t="s">
        <v>22</v>
      </c>
      <c r="D91">
        <v>8.0980318699999998E-2</v>
      </c>
      <c r="E91">
        <v>8.3237936700000001E-2</v>
      </c>
      <c r="F91">
        <v>8.4253856200000005E-2</v>
      </c>
      <c r="G91">
        <v>8.5536660400000006E-2</v>
      </c>
      <c r="H91">
        <v>8.6691936799999994E-2</v>
      </c>
      <c r="I91">
        <v>3.9836706244850001E-2</v>
      </c>
      <c r="J91">
        <v>4.0140758489602399E-2</v>
      </c>
      <c r="K91">
        <v>4.0404104044575298E-2</v>
      </c>
      <c r="L91">
        <v>4.0605439799359398E-2</v>
      </c>
      <c r="M91">
        <v>4.0759562408382001E-2</v>
      </c>
      <c r="N91">
        <v>4.0944135759436201E-2</v>
      </c>
      <c r="O91">
        <v>4.1249329118715497E-2</v>
      </c>
      <c r="P91">
        <v>4.1668777191184198E-2</v>
      </c>
      <c r="Q91">
        <v>4.2132749946560799E-2</v>
      </c>
      <c r="R91">
        <v>4.2612405420849098E-2</v>
      </c>
      <c r="S91">
        <v>4.31096039564881E-2</v>
      </c>
      <c r="T91">
        <v>4.36405125600536E-2</v>
      </c>
      <c r="U91">
        <v>4.4136505919955202E-2</v>
      </c>
      <c r="V91">
        <v>4.4607175236531897E-2</v>
      </c>
      <c r="W91">
        <v>4.5085135428517997E-2</v>
      </c>
      <c r="X91">
        <v>4.5569840195276899E-2</v>
      </c>
      <c r="Y91">
        <v>4.6041766592597101E-2</v>
      </c>
      <c r="Z91">
        <v>4.6502921351687002E-2</v>
      </c>
      <c r="AA91">
        <v>4.6985949543629703E-2</v>
      </c>
      <c r="AB91">
        <v>4.7477775124084201E-2</v>
      </c>
      <c r="AC91">
        <v>4.7958865847132097E-2</v>
      </c>
      <c r="AD91">
        <v>4.8447398479542297E-2</v>
      </c>
      <c r="AE91">
        <v>4.8925916282026E-2</v>
      </c>
      <c r="AF91">
        <v>4.9380610636094398E-2</v>
      </c>
      <c r="AG91">
        <v>4.9823171416961701E-2</v>
      </c>
      <c r="AH91">
        <v>5.0257003960104997E-2</v>
      </c>
      <c r="AI91">
        <v>5.0692214508007601E-2</v>
      </c>
      <c r="AJ91">
        <v>5.11269763555222E-2</v>
      </c>
      <c r="AK91">
        <v>5.15410243902523E-2</v>
      </c>
      <c r="AL91">
        <v>5.1922100430226402E-2</v>
      </c>
      <c r="AM91">
        <v>5.2306463761641199E-2</v>
      </c>
      <c r="AO91" t="str">
        <f t="shared" si="64"/>
        <v>Efficient uncompeted_Prospective Commercial NG Sorption HPWH</v>
      </c>
      <c r="AP91" s="111">
        <f t="shared" ref="AP91:BY91" si="89">(D90-D91)*293071083333.33</f>
        <v>0</v>
      </c>
      <c r="AQ91" s="111">
        <f t="shared" si="89"/>
        <v>0</v>
      </c>
      <c r="AR91" s="111">
        <f t="shared" si="89"/>
        <v>0</v>
      </c>
      <c r="AS91" s="111">
        <f t="shared" si="89"/>
        <v>0</v>
      </c>
      <c r="AT91" s="111">
        <f t="shared" si="89"/>
        <v>0</v>
      </c>
      <c r="AU91" s="209">
        <f t="shared" si="89"/>
        <v>13994356106.41552</v>
      </c>
      <c r="AV91" s="111">
        <f t="shared" si="89"/>
        <v>14084716443.776709</v>
      </c>
      <c r="AW91" s="111">
        <f t="shared" si="89"/>
        <v>14147823834.339426</v>
      </c>
      <c r="AX91" s="111">
        <f t="shared" si="89"/>
        <v>14179116600.435141</v>
      </c>
      <c r="AY91" s="111">
        <f t="shared" si="89"/>
        <v>14186288486.806669</v>
      </c>
      <c r="AZ91" s="111">
        <f t="shared" si="89"/>
        <v>14198472140.148926</v>
      </c>
      <c r="BA91" s="111">
        <f t="shared" si="89"/>
        <v>14248321609.088837</v>
      </c>
      <c r="BB91" s="111">
        <f t="shared" si="89"/>
        <v>14334481907.324821</v>
      </c>
      <c r="BC91" s="111">
        <f t="shared" si="89"/>
        <v>14433693193.438786</v>
      </c>
      <c r="BD91" s="111">
        <f t="shared" si="89"/>
        <v>14536810613.330278</v>
      </c>
      <c r="BE91" s="111">
        <f t="shared" si="89"/>
        <v>14645143508.240646</v>
      </c>
      <c r="BF91" s="111">
        <f t="shared" si="89"/>
        <v>14764756308.248819</v>
      </c>
      <c r="BG91" s="111">
        <f t="shared" si="89"/>
        <v>14872896267.354362</v>
      </c>
      <c r="BH91" s="111">
        <f t="shared" si="89"/>
        <v>14973334301.780081</v>
      </c>
      <c r="BI91" s="111">
        <f t="shared" si="89"/>
        <v>15077419085.516722</v>
      </c>
      <c r="BJ91" s="111">
        <f t="shared" si="89"/>
        <v>15185196308.532749</v>
      </c>
      <c r="BK91" s="111">
        <f t="shared" si="89"/>
        <v>15290353789.485336</v>
      </c>
      <c r="BL91" s="111">
        <f t="shared" si="89"/>
        <v>15393706549.910954</v>
      </c>
      <c r="BM91" s="111">
        <f t="shared" si="89"/>
        <v>15506168008.592579</v>
      </c>
      <c r="BN91" s="111">
        <f t="shared" si="89"/>
        <v>15623426223.676197</v>
      </c>
      <c r="BO91" s="111">
        <f t="shared" si="89"/>
        <v>15739044576.337244</v>
      </c>
      <c r="BP91" s="111">
        <f t="shared" si="89"/>
        <v>15859006679.31609</v>
      </c>
      <c r="BQ91" s="111">
        <f t="shared" si="89"/>
        <v>15977573567.559105</v>
      </c>
      <c r="BR91" s="111">
        <f t="shared" si="89"/>
        <v>16090231043.281126</v>
      </c>
      <c r="BS91" s="111">
        <f t="shared" si="89"/>
        <v>16200792613.296707</v>
      </c>
      <c r="BT91" s="111">
        <f t="shared" si="89"/>
        <v>16310326130.314877</v>
      </c>
      <c r="BU91" s="111">
        <f t="shared" si="89"/>
        <v>16422046718.204716</v>
      </c>
      <c r="BV91" s="111">
        <f t="shared" si="89"/>
        <v>16535304141.662161</v>
      </c>
      <c r="BW91" s="111">
        <f t="shared" si="89"/>
        <v>16643450379.865931</v>
      </c>
      <c r="BX91" s="111">
        <f t="shared" si="89"/>
        <v>16742518974.183451</v>
      </c>
      <c r="BY91" s="111">
        <f t="shared" si="89"/>
        <v>16844125126.984499</v>
      </c>
      <c r="CA91" s="9">
        <f t="shared" ref="CA91:DJ91" si="90">(D90-D91)/D90</f>
        <v>0</v>
      </c>
      <c r="CB91" s="9">
        <f t="shared" si="90"/>
        <v>0</v>
      </c>
      <c r="CC91" s="9">
        <f t="shared" si="90"/>
        <v>0</v>
      </c>
      <c r="CD91" s="9">
        <f t="shared" si="90"/>
        <v>0</v>
      </c>
      <c r="CE91" s="9">
        <f t="shared" si="90"/>
        <v>0</v>
      </c>
      <c r="CF91" s="9">
        <f t="shared" si="90"/>
        <v>0.54517781137421484</v>
      </c>
      <c r="CG91" s="9">
        <f t="shared" si="90"/>
        <v>0.54488834662108887</v>
      </c>
      <c r="CH91" s="9">
        <f t="shared" si="90"/>
        <v>0.54437532340201933</v>
      </c>
      <c r="CI91" s="9">
        <f t="shared" si="90"/>
        <v>0.54369035802323695</v>
      </c>
      <c r="CJ91" s="9">
        <f t="shared" si="90"/>
        <v>0.54287582039242499</v>
      </c>
      <c r="CK91" s="9">
        <f t="shared" si="90"/>
        <v>0.54196749201083105</v>
      </c>
      <c r="CL91" s="9">
        <f t="shared" si="90"/>
        <v>0.54099386514118453</v>
      </c>
      <c r="CM91" s="9">
        <f t="shared" si="90"/>
        <v>0.53997846389991311</v>
      </c>
      <c r="CN91" s="9">
        <f t="shared" si="90"/>
        <v>0.53894098521903844</v>
      </c>
      <c r="CO91" s="9">
        <f t="shared" si="90"/>
        <v>0.53789687313345269</v>
      </c>
      <c r="CP91" s="9">
        <f t="shared" si="90"/>
        <v>0.53685878238288109</v>
      </c>
      <c r="CQ91" s="9">
        <f t="shared" si="90"/>
        <v>0.53583773911756394</v>
      </c>
      <c r="CR91" s="9">
        <f t="shared" si="90"/>
        <v>0.53484178260333726</v>
      </c>
      <c r="CS91" s="9">
        <f t="shared" si="90"/>
        <v>0.5338770862652118</v>
      </c>
      <c r="CT91" s="9">
        <f t="shared" si="90"/>
        <v>0.53294860615445716</v>
      </c>
      <c r="CU91" s="9">
        <f t="shared" si="90"/>
        <v>0.53205971107352301</v>
      </c>
      <c r="CV91" s="9">
        <f t="shared" si="90"/>
        <v>0.53121268504669628</v>
      </c>
      <c r="CW91" s="9">
        <f t="shared" si="90"/>
        <v>0.530408356165461</v>
      </c>
      <c r="CX91" s="9">
        <f t="shared" si="90"/>
        <v>0.52964752154610073</v>
      </c>
      <c r="CY91" s="9">
        <f t="shared" si="90"/>
        <v>0.52893011425886838</v>
      </c>
      <c r="CZ91" s="9">
        <f t="shared" si="90"/>
        <v>0.52825510382891749</v>
      </c>
      <c r="DA91" s="9">
        <f t="shared" si="90"/>
        <v>0.52762160874878994</v>
      </c>
      <c r="DB91" s="9">
        <f t="shared" si="90"/>
        <v>0.52702836188739266</v>
      </c>
      <c r="DC91" s="9">
        <f t="shared" si="90"/>
        <v>0.52647385997153662</v>
      </c>
      <c r="DD91" s="9">
        <f t="shared" si="90"/>
        <v>0.52595666868609681</v>
      </c>
      <c r="DE91" s="9">
        <f t="shared" si="90"/>
        <v>0.52547506858504955</v>
      </c>
      <c r="DF91" s="9">
        <f t="shared" si="90"/>
        <v>0.52502719200784742</v>
      </c>
      <c r="DG91" s="9">
        <f t="shared" si="90"/>
        <v>0.52461148481588793</v>
      </c>
      <c r="DH91" s="9">
        <f t="shared" si="90"/>
        <v>0.52422571179544564</v>
      </c>
      <c r="DI91" s="9">
        <f t="shared" si="90"/>
        <v>0.52386861860433842</v>
      </c>
      <c r="DJ91" s="9">
        <f t="shared" si="90"/>
        <v>0.52353810856150163</v>
      </c>
    </row>
    <row r="92" spans="1:114" x14ac:dyDescent="0.3">
      <c r="A92" t="s">
        <v>729</v>
      </c>
      <c r="B92" t="s">
        <v>686</v>
      </c>
      <c r="C92" t="s">
        <v>22</v>
      </c>
      <c r="D92">
        <v>1.6997072700000001E-2</v>
      </c>
      <c r="E92">
        <v>1.6789534799999999E-2</v>
      </c>
      <c r="F92">
        <v>1.6415748160014201E-2</v>
      </c>
      <c r="G92">
        <v>1.6050723877983199E-2</v>
      </c>
      <c r="H92">
        <v>1.5634331772947999E-2</v>
      </c>
      <c r="I92">
        <v>1.5300191426475099E-2</v>
      </c>
      <c r="J92">
        <v>1.49143074938643E-2</v>
      </c>
      <c r="K92">
        <v>1.4597436136620401E-2</v>
      </c>
      <c r="L92">
        <v>1.4323737594843599E-2</v>
      </c>
      <c r="M92">
        <v>1.40855282114922E-2</v>
      </c>
      <c r="N92">
        <v>1.3801246255147901E-2</v>
      </c>
      <c r="O92">
        <v>1.35421574085842E-2</v>
      </c>
      <c r="P92">
        <v>1.33261130960652E-2</v>
      </c>
      <c r="Q92">
        <v>1.3138393757535199E-2</v>
      </c>
      <c r="R92">
        <v>1.3001617950020999E-2</v>
      </c>
      <c r="S92">
        <v>1.2856922671901701E-2</v>
      </c>
      <c r="T92">
        <v>1.26988252467835E-2</v>
      </c>
      <c r="U92">
        <v>1.2499616636162499E-2</v>
      </c>
      <c r="V92">
        <v>1.2344048338424601E-2</v>
      </c>
      <c r="W92">
        <v>1.21802474839689E-2</v>
      </c>
      <c r="X92">
        <v>1.2040225808490001E-2</v>
      </c>
      <c r="Y92">
        <v>1.1909890676133E-2</v>
      </c>
      <c r="Z92">
        <v>1.1758127164559999E-2</v>
      </c>
      <c r="AA92">
        <v>1.1622495586427599E-2</v>
      </c>
      <c r="AB92">
        <v>1.14971240960674E-2</v>
      </c>
      <c r="AC92">
        <v>1.13824876159342E-2</v>
      </c>
      <c r="AD92">
        <v>1.12537249056208E-2</v>
      </c>
      <c r="AE92">
        <v>1.1132426140688E-2</v>
      </c>
      <c r="AF92">
        <v>1.1014817974925799E-2</v>
      </c>
      <c r="AG92">
        <v>1.09019191828316E-2</v>
      </c>
      <c r="AH92">
        <v>1.07889471269321E-2</v>
      </c>
      <c r="AI92">
        <v>1.0681308640024201E-2</v>
      </c>
      <c r="AJ92">
        <v>1.0578809997944E-2</v>
      </c>
      <c r="AK92">
        <v>1.0471071103501499E-2</v>
      </c>
      <c r="AL92">
        <v>1.0379238381050201E-2</v>
      </c>
      <c r="AM92">
        <v>1.0280477713879599E-2</v>
      </c>
      <c r="AO92" t="str">
        <f t="shared" si="64"/>
        <v>Baseline uncompeted_Prospective Commercial Non-CO2 HPWH</v>
      </c>
      <c r="AP92" s="111"/>
      <c r="AQ92" s="111"/>
      <c r="AR92" s="111"/>
      <c r="AS92" s="111"/>
      <c r="AT92" s="111"/>
      <c r="AU92" s="209"/>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11"/>
      <c r="BU92" s="111"/>
      <c r="BV92" s="111"/>
      <c r="BW92" s="111"/>
      <c r="BX92" s="111"/>
      <c r="BY92" s="111"/>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row>
    <row r="93" spans="1:114" x14ac:dyDescent="0.3">
      <c r="A93" t="s">
        <v>729</v>
      </c>
      <c r="B93" t="s">
        <v>685</v>
      </c>
      <c r="C93" t="s">
        <v>22</v>
      </c>
      <c r="D93">
        <v>1.6997072700000001E-2</v>
      </c>
      <c r="E93">
        <v>1.6789534799999999E-2</v>
      </c>
      <c r="F93">
        <v>1.6415748160014201E-2</v>
      </c>
      <c r="G93">
        <v>1.6050723877983199E-2</v>
      </c>
      <c r="H93">
        <v>1.5634331772947999E-2</v>
      </c>
      <c r="I93">
        <v>5.3233634192448899E-3</v>
      </c>
      <c r="J93">
        <v>5.3060034913744603E-3</v>
      </c>
      <c r="K93">
        <v>5.27230024723518E-3</v>
      </c>
      <c r="L93">
        <v>5.2303376356938897E-3</v>
      </c>
      <c r="M93">
        <v>5.2044664593802496E-3</v>
      </c>
      <c r="N93">
        <v>5.1545544081897203E-3</v>
      </c>
      <c r="O93">
        <v>5.1144689361328896E-3</v>
      </c>
      <c r="P93">
        <v>5.0775132177475002E-3</v>
      </c>
      <c r="Q93">
        <v>5.0585188648412998E-3</v>
      </c>
      <c r="R93">
        <v>5.0518683599943097E-3</v>
      </c>
      <c r="S93">
        <v>5.0413719237729802E-3</v>
      </c>
      <c r="T93">
        <v>5.0226258333799303E-3</v>
      </c>
      <c r="U93">
        <v>4.9825110674796098E-3</v>
      </c>
      <c r="V93">
        <v>4.9610416385254402E-3</v>
      </c>
      <c r="W93">
        <v>4.9315775014689396E-3</v>
      </c>
      <c r="X93">
        <v>4.9147456309970297E-3</v>
      </c>
      <c r="Y93">
        <v>4.9030933231941302E-3</v>
      </c>
      <c r="Z93">
        <v>4.8810696020290499E-3</v>
      </c>
      <c r="AA93">
        <v>4.8608395627237197E-3</v>
      </c>
      <c r="AB93">
        <v>4.84802505537684E-3</v>
      </c>
      <c r="AC93">
        <v>4.83477237416036E-3</v>
      </c>
      <c r="AD93">
        <v>4.8158971123030102E-3</v>
      </c>
      <c r="AE93">
        <v>4.7928284616702002E-3</v>
      </c>
      <c r="AF93">
        <v>4.7736714096823004E-3</v>
      </c>
      <c r="AG93">
        <v>4.7561357696522099E-3</v>
      </c>
      <c r="AH93">
        <v>4.7366664622096998E-3</v>
      </c>
      <c r="AI93">
        <v>4.7171209721275304E-3</v>
      </c>
      <c r="AJ93">
        <v>4.6986138684901304E-3</v>
      </c>
      <c r="AK93">
        <v>4.6766328120531504E-3</v>
      </c>
      <c r="AL93">
        <v>4.66174934764714E-3</v>
      </c>
      <c r="AM93">
        <v>4.6431197520056299E-3</v>
      </c>
      <c r="AO93" t="str">
        <f t="shared" si="64"/>
        <v>Efficient uncompeted_Prospective Commercial Non-CO2 HPWH</v>
      </c>
      <c r="AP93" s="111">
        <f t="shared" ref="AP93:BY93" si="91">(D92-D93)*293071083333.33</f>
        <v>0</v>
      </c>
      <c r="AQ93" s="111">
        <f t="shared" si="91"/>
        <v>0</v>
      </c>
      <c r="AR93" s="111">
        <f t="shared" si="91"/>
        <v>0</v>
      </c>
      <c r="AS93" s="111">
        <f t="shared" si="91"/>
        <v>0</v>
      </c>
      <c r="AT93" s="111">
        <f t="shared" si="91"/>
        <v>0</v>
      </c>
      <c r="AU93" s="209">
        <f t="shared" si="91"/>
        <v>2923919792.3092656</v>
      </c>
      <c r="AV93" s="111">
        <f t="shared" si="91"/>
        <v>2815916063.0056682</v>
      </c>
      <c r="AW93" s="111">
        <f t="shared" si="91"/>
        <v>2732927677.3326426</v>
      </c>
      <c r="AX93" s="111">
        <f t="shared" si="91"/>
        <v>2665012577.2112641</v>
      </c>
      <c r="AY93" s="111">
        <f t="shared" si="91"/>
        <v>2602782388.8416519</v>
      </c>
      <c r="AZ93" s="111">
        <f t="shared" si="91"/>
        <v>2534095346.8375063</v>
      </c>
      <c r="BA93" s="111">
        <f t="shared" si="91"/>
        <v>2469911790.6171227</v>
      </c>
      <c r="BB93" s="111">
        <f t="shared" si="91"/>
        <v>2417426102.3217421</v>
      </c>
      <c r="BC93" s="111">
        <f t="shared" si="91"/>
        <v>2367977687.9995747</v>
      </c>
      <c r="BD93" s="111">
        <f t="shared" si="91"/>
        <v>2329841724.5778179</v>
      </c>
      <c r="BE93" s="111">
        <f t="shared" si="91"/>
        <v>2290511924.6007018</v>
      </c>
      <c r="BF93" s="111">
        <f t="shared" si="91"/>
        <v>2249672077.9688568</v>
      </c>
      <c r="BG93" s="111">
        <f t="shared" si="91"/>
        <v>2203046272.5449023</v>
      </c>
      <c r="BH93" s="111">
        <f t="shared" si="91"/>
        <v>2163745771.7966809</v>
      </c>
      <c r="BI93" s="111">
        <f t="shared" si="91"/>
        <v>2124375564.4970536</v>
      </c>
      <c r="BJ93" s="111">
        <f t="shared" si="91"/>
        <v>2088272194.8880336</v>
      </c>
      <c r="BK93" s="111">
        <f t="shared" si="91"/>
        <v>2053489690.9229035</v>
      </c>
      <c r="BL93" s="111">
        <f t="shared" si="91"/>
        <v>2015466709.9966154</v>
      </c>
      <c r="BM93" s="111">
        <f t="shared" si="91"/>
        <v>1981645855.9942327</v>
      </c>
      <c r="BN93" s="111">
        <f t="shared" si="91"/>
        <v>1948658659.0457878</v>
      </c>
      <c r="BO93" s="111">
        <f t="shared" si="91"/>
        <v>1918945999.264816</v>
      </c>
      <c r="BP93" s="111">
        <f t="shared" si="91"/>
        <v>1886741165.7010663</v>
      </c>
      <c r="BQ93" s="111">
        <f t="shared" si="91"/>
        <v>1857952759.6872113</v>
      </c>
      <c r="BR93" s="111">
        <f t="shared" si="91"/>
        <v>1829099585.1180038</v>
      </c>
      <c r="BS93" s="111">
        <f t="shared" si="91"/>
        <v>1801151402.8324945</v>
      </c>
      <c r="BT93" s="111">
        <f t="shared" si="91"/>
        <v>1773748451.0475607</v>
      </c>
      <c r="BU93" s="111">
        <f t="shared" si="91"/>
        <v>1747930941.0337644</v>
      </c>
      <c r="BV93" s="111">
        <f t="shared" si="91"/>
        <v>1723315449.8714995</v>
      </c>
      <c r="BW93" s="111">
        <f t="shared" si="91"/>
        <v>1698182307.3828974</v>
      </c>
      <c r="BX93" s="111">
        <f t="shared" si="91"/>
        <v>1675630704.9658689</v>
      </c>
      <c r="BY93" s="111">
        <f t="shared" si="91"/>
        <v>1652146605.0241776</v>
      </c>
      <c r="CA93" s="9">
        <f t="shared" ref="CA93:DJ93" si="92">(D92-D93)/D92</f>
        <v>0</v>
      </c>
      <c r="CB93" s="9">
        <f t="shared" si="92"/>
        <v>0</v>
      </c>
      <c r="CC93" s="9">
        <f t="shared" si="92"/>
        <v>0</v>
      </c>
      <c r="CD93" s="9">
        <f t="shared" si="92"/>
        <v>0</v>
      </c>
      <c r="CE93" s="9">
        <f t="shared" si="92"/>
        <v>0</v>
      </c>
      <c r="CF93" s="9">
        <f t="shared" si="92"/>
        <v>0.65207210348796918</v>
      </c>
      <c r="CG93" s="9">
        <f t="shared" si="92"/>
        <v>0.64423400191008973</v>
      </c>
      <c r="CH93" s="9">
        <f t="shared" si="92"/>
        <v>0.63882011896536894</v>
      </c>
      <c r="CI93" s="9">
        <f t="shared" si="92"/>
        <v>0.63484826491259105</v>
      </c>
      <c r="CJ93" s="9">
        <f t="shared" si="92"/>
        <v>0.6305096705472506</v>
      </c>
      <c r="CK93" s="9">
        <f t="shared" si="92"/>
        <v>0.62651529340931378</v>
      </c>
      <c r="CL93" s="9">
        <f t="shared" si="92"/>
        <v>0.62232982664262237</v>
      </c>
      <c r="CM93" s="9">
        <f t="shared" si="92"/>
        <v>0.61898017965593144</v>
      </c>
      <c r="CN93" s="9">
        <f t="shared" si="92"/>
        <v>0.61498194085254043</v>
      </c>
      <c r="CO93" s="9">
        <f t="shared" si="92"/>
        <v>0.61144310043457706</v>
      </c>
      <c r="CP93" s="9">
        <f t="shared" si="92"/>
        <v>0.6078865796719225</v>
      </c>
      <c r="CQ93" s="9">
        <f t="shared" si="92"/>
        <v>0.60448106531333545</v>
      </c>
      <c r="CR93" s="9">
        <f t="shared" si="92"/>
        <v>0.6013868894934935</v>
      </c>
      <c r="CS93" s="9">
        <f t="shared" si="92"/>
        <v>0.59810254281954722</v>
      </c>
      <c r="CT93" s="9">
        <f t="shared" si="92"/>
        <v>0.59511680629152541</v>
      </c>
      <c r="CU93" s="9">
        <f t="shared" si="92"/>
        <v>0.59180619124838474</v>
      </c>
      <c r="CV93" s="9">
        <f t="shared" si="92"/>
        <v>0.58831752057810605</v>
      </c>
      <c r="CW93" s="9">
        <f t="shared" si="92"/>
        <v>0.58487695074934964</v>
      </c>
      <c r="CX93" s="9">
        <f t="shared" si="92"/>
        <v>0.58177316338153207</v>
      </c>
      <c r="CY93" s="9">
        <f t="shared" si="92"/>
        <v>0.57832715252372457</v>
      </c>
      <c r="CZ93" s="9">
        <f t="shared" si="92"/>
        <v>0.57524466203747737</v>
      </c>
      <c r="DA93" s="9">
        <f t="shared" si="92"/>
        <v>0.5720619481379311</v>
      </c>
      <c r="DB93" s="9">
        <f t="shared" si="92"/>
        <v>0.56947134424248724</v>
      </c>
      <c r="DC93" s="9">
        <f t="shared" si="92"/>
        <v>0.56661368162877357</v>
      </c>
      <c r="DD93" s="9">
        <f t="shared" si="92"/>
        <v>0.56373408297300553</v>
      </c>
      <c r="DE93" s="9">
        <f t="shared" si="92"/>
        <v>0.56097046296707564</v>
      </c>
      <c r="DF93" s="9">
        <f t="shared" si="92"/>
        <v>0.55837611934066889</v>
      </c>
      <c r="DG93" s="9">
        <f t="shared" si="92"/>
        <v>0.55584665294080249</v>
      </c>
      <c r="DH93" s="9">
        <f t="shared" si="92"/>
        <v>0.55337589002816567</v>
      </c>
      <c r="DI93" s="9">
        <f t="shared" si="92"/>
        <v>0.55085824445864096</v>
      </c>
      <c r="DJ93" s="9">
        <f t="shared" si="92"/>
        <v>0.54835564248760671</v>
      </c>
    </row>
    <row r="94" spans="1:114" x14ac:dyDescent="0.3">
      <c r="A94" t="s">
        <v>728</v>
      </c>
      <c r="B94" t="s">
        <v>686</v>
      </c>
      <c r="C94" t="s">
        <v>22</v>
      </c>
      <c r="D94">
        <v>8.1755339499999996E-2</v>
      </c>
      <c r="E94">
        <v>8.4071122799999995E-2</v>
      </c>
      <c r="F94">
        <v>8.5088139500000007E-2</v>
      </c>
      <c r="G94">
        <v>8.6336642500000005E-2</v>
      </c>
      <c r="H94">
        <v>8.7456534200000005E-2</v>
      </c>
      <c r="I94">
        <v>8.8342426099999996E-2</v>
      </c>
      <c r="J94">
        <v>8.8953977700000006E-2</v>
      </c>
      <c r="K94">
        <v>8.9432380300000003E-2</v>
      </c>
      <c r="L94">
        <v>8.9738845600000006E-2</v>
      </c>
      <c r="M94">
        <v>8.9912776599999994E-2</v>
      </c>
      <c r="N94">
        <v>9.0131241900000006E-2</v>
      </c>
      <c r="O94">
        <v>9.0598574000000001E-2</v>
      </c>
      <c r="P94">
        <v>9.1301864100000005E-2</v>
      </c>
      <c r="Q94">
        <v>9.2097228000000003E-2</v>
      </c>
      <c r="R94">
        <v>9.2921589200000002E-2</v>
      </c>
      <c r="S94">
        <v>9.3782125999999993E-2</v>
      </c>
      <c r="T94">
        <v>9.4715410099999994E-2</v>
      </c>
      <c r="U94">
        <v>9.5574083399999996E-2</v>
      </c>
      <c r="V94">
        <v>9.6380603999999995E-2</v>
      </c>
      <c r="W94">
        <v>9.7207407300000007E-2</v>
      </c>
      <c r="X94">
        <v>9.8053280000000007E-2</v>
      </c>
      <c r="Y94">
        <v>9.8876612500000002E-2</v>
      </c>
      <c r="Z94">
        <v>9.9684386900000005E-2</v>
      </c>
      <c r="AA94">
        <v>0.1005448406</v>
      </c>
      <c r="AB94">
        <v>0.1014310075</v>
      </c>
      <c r="AC94">
        <v>0.1023005698</v>
      </c>
      <c r="AD94">
        <v>0.103193479</v>
      </c>
      <c r="AE94">
        <v>0.10407107779999999</v>
      </c>
      <c r="AF94">
        <v>0.10490496370000001</v>
      </c>
      <c r="AG94">
        <v>0.1057201131</v>
      </c>
      <c r="AH94">
        <v>0.1065230264</v>
      </c>
      <c r="AI94">
        <v>0.1073353289</v>
      </c>
      <c r="AJ94">
        <v>0.1081527009</v>
      </c>
      <c r="AK94">
        <v>0.108931631</v>
      </c>
      <c r="AL94">
        <v>0.1096463543</v>
      </c>
      <c r="AM94">
        <v>0.11037302340000001</v>
      </c>
      <c r="AO94" t="str">
        <f t="shared" si="64"/>
        <v>Baseline uncompeted_Prospective Commercial Non-CO2 HPWH (FS)</v>
      </c>
      <c r="AP94" s="111"/>
      <c r="AQ94" s="111"/>
      <c r="AR94" s="111"/>
      <c r="AS94" s="111"/>
      <c r="AT94" s="111"/>
      <c r="AU94" s="209"/>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1"/>
      <c r="BR94" s="111"/>
      <c r="BS94" s="111"/>
      <c r="BT94" s="111"/>
      <c r="BU94" s="111"/>
      <c r="BV94" s="111"/>
      <c r="BW94" s="111"/>
      <c r="BX94" s="111"/>
      <c r="BY94" s="111"/>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row>
    <row r="95" spans="1:114" x14ac:dyDescent="0.3">
      <c r="A95" t="s">
        <v>728</v>
      </c>
      <c r="B95" t="s">
        <v>685</v>
      </c>
      <c r="C95" t="s">
        <v>22</v>
      </c>
      <c r="D95">
        <v>8.1755339499999996E-2</v>
      </c>
      <c r="E95">
        <v>8.4071122799999995E-2</v>
      </c>
      <c r="F95">
        <v>8.5088139500000007E-2</v>
      </c>
      <c r="G95">
        <v>8.6336642500000005E-2</v>
      </c>
      <c r="H95">
        <v>8.7456534200000005E-2</v>
      </c>
      <c r="I95">
        <v>5.6745967093543799E-2</v>
      </c>
      <c r="J95">
        <v>5.6384556337569801E-2</v>
      </c>
      <c r="K95">
        <v>5.6043186619548803E-2</v>
      </c>
      <c r="L95">
        <v>5.5736879218151097E-2</v>
      </c>
      <c r="M95">
        <v>5.5638024494407301E-2</v>
      </c>
      <c r="N95">
        <v>5.5433612265651099E-2</v>
      </c>
      <c r="O95">
        <v>5.5444053351635901E-2</v>
      </c>
      <c r="P95">
        <v>5.5671130717350199E-2</v>
      </c>
      <c r="Q95">
        <v>5.6004106068860401E-2</v>
      </c>
      <c r="R95">
        <v>5.6508652424584097E-2</v>
      </c>
      <c r="S95">
        <v>5.6978254331920997E-2</v>
      </c>
      <c r="T95">
        <v>5.7434431746407E-2</v>
      </c>
      <c r="U95">
        <v>5.7653912122702197E-2</v>
      </c>
      <c r="V95">
        <v>5.8033592121101901E-2</v>
      </c>
      <c r="W95">
        <v>5.8367926232664201E-2</v>
      </c>
      <c r="X95">
        <v>5.8814249963267E-2</v>
      </c>
      <c r="Y95">
        <v>5.93007170923893E-2</v>
      </c>
      <c r="Z95">
        <v>5.9693091118251697E-2</v>
      </c>
      <c r="AA95">
        <v>6.0143470520791102E-2</v>
      </c>
      <c r="AB95">
        <v>6.0635621066013598E-2</v>
      </c>
      <c r="AC95">
        <v>6.1093124606583803E-2</v>
      </c>
      <c r="AD95">
        <v>6.1538054965882202E-2</v>
      </c>
      <c r="AE95">
        <v>6.1955240989834903E-2</v>
      </c>
      <c r="AF95">
        <v>6.2357858760555003E-2</v>
      </c>
      <c r="AG95">
        <v>6.2751989054312604E-2</v>
      </c>
      <c r="AH95">
        <v>6.3136333513830606E-2</v>
      </c>
      <c r="AI95">
        <v>6.3539821687683906E-2</v>
      </c>
      <c r="AJ95">
        <v>6.3994852799527699E-2</v>
      </c>
      <c r="AK95">
        <v>6.4391043615935506E-2</v>
      </c>
      <c r="AL95">
        <v>6.4774787996252206E-2</v>
      </c>
      <c r="AM95">
        <v>6.5130049771280896E-2</v>
      </c>
      <c r="AO95" t="str">
        <f t="shared" si="64"/>
        <v>Efficient uncompeted_Prospective Commercial Non-CO2 HPWH (FS)</v>
      </c>
      <c r="AP95" s="111">
        <f t="shared" ref="AP95:BY95" si="93">(D94-D95)*293071083333.33</f>
        <v>0</v>
      </c>
      <c r="AQ95" s="111">
        <f t="shared" si="93"/>
        <v>0</v>
      </c>
      <c r="AR95" s="111">
        <f t="shared" si="93"/>
        <v>0</v>
      </c>
      <c r="AS95" s="111">
        <f t="shared" si="93"/>
        <v>0</v>
      </c>
      <c r="AT95" s="111">
        <f t="shared" si="93"/>
        <v>0</v>
      </c>
      <c r="AU95" s="209">
        <f t="shared" si="93"/>
        <v>9260008470.5192699</v>
      </c>
      <c r="AV95" s="111">
        <f t="shared" si="93"/>
        <v>9545155602.2271214</v>
      </c>
      <c r="AW95" s="111">
        <f t="shared" si="93"/>
        <v>9785407163.5562096</v>
      </c>
      <c r="AX95" s="111">
        <f t="shared" si="93"/>
        <v>9964993122.9919262</v>
      </c>
      <c r="AY95" s="111">
        <f t="shared" si="93"/>
        <v>10044938730.567385</v>
      </c>
      <c r="AZ95" s="111">
        <f t="shared" si="93"/>
        <v>10168871906.037291</v>
      </c>
      <c r="BA95" s="111">
        <f t="shared" si="93"/>
        <v>10302773450.479986</v>
      </c>
      <c r="BB95" s="111">
        <f t="shared" si="93"/>
        <v>10442337632.414225</v>
      </c>
      <c r="BC95" s="111">
        <f t="shared" si="93"/>
        <v>10577850345.241055</v>
      </c>
      <c r="BD95" s="111">
        <f t="shared" si="93"/>
        <v>10671578828.119192</v>
      </c>
      <c r="BE95" s="111">
        <f t="shared" si="93"/>
        <v>10786150540.624763</v>
      </c>
      <c r="BF95" s="111">
        <f t="shared" si="93"/>
        <v>10925976713.813925</v>
      </c>
      <c r="BG95" s="111">
        <f t="shared" si="93"/>
        <v>11113305676.42309</v>
      </c>
      <c r="BH95" s="111">
        <f t="shared" si="93"/>
        <v>11238400313.944738</v>
      </c>
      <c r="BI95" s="111">
        <f t="shared" si="93"/>
        <v>11382728792.508465</v>
      </c>
      <c r="BJ95" s="111">
        <f t="shared" si="93"/>
        <v>11499825041.814419</v>
      </c>
      <c r="BK95" s="111">
        <f t="shared" si="93"/>
        <v>11598550540.995029</v>
      </c>
      <c r="BL95" s="111">
        <f t="shared" si="93"/>
        <v>11720292378.660608</v>
      </c>
      <c r="BM95" s="111">
        <f t="shared" si="93"/>
        <v>11840473297.264538</v>
      </c>
      <c r="BN95" s="111">
        <f t="shared" si="93"/>
        <v>11955948097.21023</v>
      </c>
      <c r="BO95" s="111">
        <f t="shared" si="93"/>
        <v>12076710604.233309</v>
      </c>
      <c r="BP95" s="111">
        <f t="shared" si="93"/>
        <v>12208000248.388136</v>
      </c>
      <c r="BQ95" s="111">
        <f t="shared" si="93"/>
        <v>12342933919.444822</v>
      </c>
      <c r="BR95" s="111">
        <f t="shared" si="93"/>
        <v>12469326137.300024</v>
      </c>
      <c r="BS95" s="111">
        <f t="shared" si="93"/>
        <v>12592714662.870512</v>
      </c>
      <c r="BT95" s="111">
        <f t="shared" si="93"/>
        <v>12715385086.400146</v>
      </c>
      <c r="BU95" s="111">
        <f t="shared" si="93"/>
        <v>12835196743.846146</v>
      </c>
      <c r="BV95" s="111">
        <f t="shared" si="93"/>
        <v>12941388380.474045</v>
      </c>
      <c r="BW95" s="111">
        <f t="shared" si="93"/>
        <v>13053558196.950634</v>
      </c>
      <c r="BX95" s="111">
        <f t="shared" si="93"/>
        <v>13150558547.502712</v>
      </c>
      <c r="BY95" s="111">
        <f t="shared" si="93"/>
        <v>13259407294.589991</v>
      </c>
      <c r="CA95" s="9">
        <f t="shared" ref="CA95:DJ95" si="94">(D94-D95)/D94</f>
        <v>0</v>
      </c>
      <c r="CB95" s="9">
        <f t="shared" si="94"/>
        <v>0</v>
      </c>
      <c r="CC95" s="9">
        <f t="shared" si="94"/>
        <v>0</v>
      </c>
      <c r="CD95" s="9">
        <f t="shared" si="94"/>
        <v>0</v>
      </c>
      <c r="CE95" s="9">
        <f t="shared" si="94"/>
        <v>0</v>
      </c>
      <c r="CF95" s="9">
        <f t="shared" si="94"/>
        <v>0.35765894600506332</v>
      </c>
      <c r="CG95" s="9">
        <f t="shared" si="94"/>
        <v>0.36613788618055471</v>
      </c>
      <c r="CH95" s="9">
        <f t="shared" si="94"/>
        <v>0.3733456894297959</v>
      </c>
      <c r="CI95" s="9">
        <f t="shared" si="94"/>
        <v>0.37889908383052462</v>
      </c>
      <c r="CJ95" s="9">
        <f t="shared" si="94"/>
        <v>0.38120001852542829</v>
      </c>
      <c r="CK95" s="9">
        <f t="shared" si="94"/>
        <v>0.38496784137120499</v>
      </c>
      <c r="CL95" s="9">
        <f t="shared" si="94"/>
        <v>0.38802509903041188</v>
      </c>
      <c r="CM95" s="9">
        <f t="shared" si="94"/>
        <v>0.39025198153265089</v>
      </c>
      <c r="CN95" s="9">
        <f t="shared" si="94"/>
        <v>0.391902370081536</v>
      </c>
      <c r="CO95" s="9">
        <f t="shared" si="94"/>
        <v>0.39186734846992805</v>
      </c>
      <c r="CP95" s="9">
        <f t="shared" si="94"/>
        <v>0.39244015078181316</v>
      </c>
      <c r="CQ95" s="9">
        <f t="shared" si="94"/>
        <v>0.39361048338630378</v>
      </c>
      <c r="CR95" s="9">
        <f t="shared" si="94"/>
        <v>0.39676207114216278</v>
      </c>
      <c r="CS95" s="9">
        <f t="shared" si="94"/>
        <v>0.39787063254862043</v>
      </c>
      <c r="CT95" s="9">
        <f t="shared" si="94"/>
        <v>0.3995526899248531</v>
      </c>
      <c r="CU95" s="9">
        <f t="shared" si="94"/>
        <v>0.40018069805245682</v>
      </c>
      <c r="CV95" s="9">
        <f t="shared" si="94"/>
        <v>0.40025537290338198</v>
      </c>
      <c r="CW95" s="9">
        <f t="shared" si="94"/>
        <v>0.40117913171163122</v>
      </c>
      <c r="CX95" s="9">
        <f t="shared" si="94"/>
        <v>0.40182439832928535</v>
      </c>
      <c r="CY95" s="9">
        <f t="shared" si="94"/>
        <v>0.40219837542268722</v>
      </c>
      <c r="CZ95" s="9">
        <f t="shared" si="94"/>
        <v>0.40280758234267627</v>
      </c>
      <c r="DA95" s="9">
        <f t="shared" si="94"/>
        <v>0.40366333646060909</v>
      </c>
      <c r="DB95" s="9">
        <f t="shared" si="94"/>
        <v>0.40468339235519185</v>
      </c>
      <c r="DC95" s="9">
        <f t="shared" si="94"/>
        <v>0.40557761462191899</v>
      </c>
      <c r="DD95" s="9">
        <f t="shared" si="94"/>
        <v>0.4064328232892081</v>
      </c>
      <c r="DE95" s="9">
        <f t="shared" si="94"/>
        <v>0.40729872547227397</v>
      </c>
      <c r="DF95" s="9">
        <f t="shared" si="94"/>
        <v>0.40802508979237023</v>
      </c>
      <c r="DG95" s="9">
        <f t="shared" si="94"/>
        <v>0.4082916814190472</v>
      </c>
      <c r="DH95" s="9">
        <f t="shared" si="94"/>
        <v>0.4088857109287613</v>
      </c>
      <c r="DI95" s="9">
        <f t="shared" si="94"/>
        <v>0.40923901747773656</v>
      </c>
      <c r="DJ95" s="9">
        <f t="shared" si="94"/>
        <v>0.40990970651184599</v>
      </c>
    </row>
    <row r="96" spans="1:114" x14ac:dyDescent="0.3">
      <c r="A96" t="s">
        <v>727</v>
      </c>
      <c r="B96" t="s">
        <v>686</v>
      </c>
      <c r="C96" t="s">
        <v>22</v>
      </c>
      <c r="D96">
        <v>1.6997072700000001E-2</v>
      </c>
      <c r="E96">
        <v>1.6789534799999999E-2</v>
      </c>
      <c r="F96">
        <v>1.6415748160014201E-2</v>
      </c>
      <c r="G96">
        <v>1.6050723877983199E-2</v>
      </c>
      <c r="H96">
        <v>1.5634331772947999E-2</v>
      </c>
      <c r="I96">
        <v>1.5300191426475099E-2</v>
      </c>
      <c r="J96">
        <v>1.49143074938643E-2</v>
      </c>
      <c r="K96">
        <v>1.4597436136620401E-2</v>
      </c>
      <c r="L96">
        <v>1.4323737594843599E-2</v>
      </c>
      <c r="M96">
        <v>1.40855282114922E-2</v>
      </c>
      <c r="N96">
        <v>1.3801246255147901E-2</v>
      </c>
      <c r="O96">
        <v>1.35421574085842E-2</v>
      </c>
      <c r="P96">
        <v>1.33261130960652E-2</v>
      </c>
      <c r="Q96">
        <v>1.3138393757535199E-2</v>
      </c>
      <c r="R96">
        <v>1.3001617950020999E-2</v>
      </c>
      <c r="S96">
        <v>1.2856922671901701E-2</v>
      </c>
      <c r="T96">
        <v>1.26988252467835E-2</v>
      </c>
      <c r="U96">
        <v>1.2499616636162499E-2</v>
      </c>
      <c r="V96">
        <v>1.2344048338424601E-2</v>
      </c>
      <c r="W96">
        <v>1.21802474839689E-2</v>
      </c>
      <c r="X96">
        <v>1.2040225808490001E-2</v>
      </c>
      <c r="Y96">
        <v>1.1909890676133E-2</v>
      </c>
      <c r="Z96">
        <v>1.1758127164559999E-2</v>
      </c>
      <c r="AA96">
        <v>1.1622495586427599E-2</v>
      </c>
      <c r="AB96">
        <v>1.14971240960674E-2</v>
      </c>
      <c r="AC96">
        <v>1.13824876159342E-2</v>
      </c>
      <c r="AD96">
        <v>1.12537249056208E-2</v>
      </c>
      <c r="AE96">
        <v>1.1132426140688E-2</v>
      </c>
      <c r="AF96">
        <v>1.1014817974925799E-2</v>
      </c>
      <c r="AG96">
        <v>1.09019191828316E-2</v>
      </c>
      <c r="AH96">
        <v>1.07889471269321E-2</v>
      </c>
      <c r="AI96">
        <v>1.0681308640024201E-2</v>
      </c>
      <c r="AJ96">
        <v>1.0578809997944E-2</v>
      </c>
      <c r="AK96">
        <v>1.0471071103501499E-2</v>
      </c>
      <c r="AL96">
        <v>1.0379238381050201E-2</v>
      </c>
      <c r="AM96">
        <v>1.0280477713879599E-2</v>
      </c>
      <c r="AO96" t="str">
        <f t="shared" si="64"/>
        <v>Baseline uncompeted_Prospective Commercial NVC HPWH</v>
      </c>
      <c r="AP96" s="111"/>
      <c r="AQ96" s="111"/>
      <c r="AR96" s="111"/>
      <c r="AS96" s="111"/>
      <c r="AT96" s="111"/>
      <c r="AU96" s="209"/>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1"/>
      <c r="BR96" s="111"/>
      <c r="BS96" s="111"/>
      <c r="BT96" s="111"/>
      <c r="BU96" s="111"/>
      <c r="BV96" s="111"/>
      <c r="BW96" s="111"/>
      <c r="BX96" s="111"/>
      <c r="BY96" s="111"/>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row>
    <row r="97" spans="1:114" x14ac:dyDescent="0.3">
      <c r="A97" t="s">
        <v>727</v>
      </c>
      <c r="B97" t="s">
        <v>685</v>
      </c>
      <c r="C97" t="s">
        <v>22</v>
      </c>
      <c r="D97">
        <v>1.6997072700000001E-2</v>
      </c>
      <c r="E97">
        <v>1.6789534799999999E-2</v>
      </c>
      <c r="F97">
        <v>1.6415748160014201E-2</v>
      </c>
      <c r="G97">
        <v>1.6050723877983199E-2</v>
      </c>
      <c r="H97">
        <v>1.5634331772947999E-2</v>
      </c>
      <c r="I97">
        <v>8.3086221210174997E-3</v>
      </c>
      <c r="J97">
        <v>8.2815270179099395E-3</v>
      </c>
      <c r="K97">
        <v>8.2289235231357005E-3</v>
      </c>
      <c r="L97">
        <v>8.1634289372790898E-3</v>
      </c>
      <c r="M97">
        <v>8.1230496111111394E-3</v>
      </c>
      <c r="N97">
        <v>8.04514766454709E-3</v>
      </c>
      <c r="O97">
        <v>7.9825828885525096E-3</v>
      </c>
      <c r="P97">
        <v>7.9249029829941298E-3</v>
      </c>
      <c r="Q97">
        <v>7.8952568949287698E-3</v>
      </c>
      <c r="R97">
        <v>7.8848768912852408E-3</v>
      </c>
      <c r="S97">
        <v>7.8684942182809595E-3</v>
      </c>
      <c r="T97">
        <v>7.8392356144518192E-3</v>
      </c>
      <c r="U97">
        <v>7.7766251170858199E-3</v>
      </c>
      <c r="V97">
        <v>7.7431159691495098E-3</v>
      </c>
      <c r="W97">
        <v>7.6971288062142604E-3</v>
      </c>
      <c r="X97">
        <v>7.6708578868110496E-3</v>
      </c>
      <c r="Y97">
        <v>7.6526711475735903E-3</v>
      </c>
      <c r="Z97">
        <v>7.6182968690492701E-3</v>
      </c>
      <c r="AA97">
        <v>7.5867221410354504E-3</v>
      </c>
      <c r="AB97">
        <v>7.5667214589803296E-3</v>
      </c>
      <c r="AC97">
        <v>7.5460368820228297E-3</v>
      </c>
      <c r="AD97">
        <v>7.5165766693984304E-3</v>
      </c>
      <c r="AE97">
        <v>7.4805714813519202E-3</v>
      </c>
      <c r="AF97">
        <v>7.4506714551119896E-3</v>
      </c>
      <c r="AG97">
        <v>7.4233021032218804E-3</v>
      </c>
      <c r="AH97">
        <v>7.3929147135665197E-3</v>
      </c>
      <c r="AI97">
        <v>7.3624084192421904E-3</v>
      </c>
      <c r="AJ97">
        <v>7.3335228221924403E-3</v>
      </c>
      <c r="AK97">
        <v>7.2992151341064902E-3</v>
      </c>
      <c r="AL97">
        <v>7.2759852563277E-3</v>
      </c>
      <c r="AM97">
        <v>7.2469084756793698E-3</v>
      </c>
      <c r="AO97" t="str">
        <f t="shared" si="64"/>
        <v>Efficient uncompeted_Prospective Commercial NVC HPWH</v>
      </c>
      <c r="AP97" s="111">
        <f t="shared" ref="AP97:BY97" si="95">(D96-D97)*293071083333.33</f>
        <v>0</v>
      </c>
      <c r="AQ97" s="111">
        <f t="shared" si="95"/>
        <v>0</v>
      </c>
      <c r="AR97" s="111">
        <f t="shared" si="95"/>
        <v>0</v>
      </c>
      <c r="AS97" s="111">
        <f t="shared" si="95"/>
        <v>0</v>
      </c>
      <c r="AT97" s="111">
        <f t="shared" si="95"/>
        <v>0</v>
      </c>
      <c r="AU97" s="209">
        <f t="shared" si="95"/>
        <v>2049026790.5505164</v>
      </c>
      <c r="AV97" s="111">
        <f t="shared" si="95"/>
        <v>1943876159.6001048</v>
      </c>
      <c r="AW97" s="111">
        <f t="shared" si="95"/>
        <v>1866426890.855938</v>
      </c>
      <c r="AX97" s="111">
        <f t="shared" si="95"/>
        <v>1805408331.9401228</v>
      </c>
      <c r="AY97" s="111">
        <f t="shared" si="95"/>
        <v>1747430062.7654748</v>
      </c>
      <c r="AZ97" s="111">
        <f t="shared" si="95"/>
        <v>1686946049.7208338</v>
      </c>
      <c r="BA97" s="111">
        <f t="shared" si="95"/>
        <v>1629350527.458066</v>
      </c>
      <c r="BB97" s="111">
        <f t="shared" si="95"/>
        <v>1582938499.1486764</v>
      </c>
      <c r="BC97" s="111">
        <f t="shared" si="95"/>
        <v>1536611800.3889835</v>
      </c>
      <c r="BD97" s="111">
        <f t="shared" si="95"/>
        <v>1499568845.2198188</v>
      </c>
      <c r="BE97" s="111">
        <f t="shared" si="95"/>
        <v>1461964131.0334389</v>
      </c>
      <c r="BF97" s="111">
        <f t="shared" si="95"/>
        <v>1424205198.1028647</v>
      </c>
      <c r="BG97" s="111">
        <f t="shared" si="95"/>
        <v>1384172241.0699325</v>
      </c>
      <c r="BH97" s="111">
        <f t="shared" si="95"/>
        <v>1348400233.8068357</v>
      </c>
      <c r="BI97" s="111">
        <f t="shared" si="95"/>
        <v>1313872447.601438</v>
      </c>
      <c r="BJ97" s="111">
        <f t="shared" si="95"/>
        <v>1280535390.2883508</v>
      </c>
      <c r="BK97" s="111">
        <f t="shared" si="95"/>
        <v>1247667939.2227147</v>
      </c>
      <c r="BL97" s="111">
        <f t="shared" si="95"/>
        <v>1213264549.5214691</v>
      </c>
      <c r="BM97" s="111">
        <f t="shared" si="95"/>
        <v>1182768495.7289629</v>
      </c>
      <c r="BN97" s="111">
        <f t="shared" si="95"/>
        <v>1151887358.7872849</v>
      </c>
      <c r="BO97" s="111">
        <f t="shared" si="95"/>
        <v>1124352772.7423542</v>
      </c>
      <c r="BP97" s="111">
        <f t="shared" si="95"/>
        <v>1095250082.1669335</v>
      </c>
      <c r="BQ97" s="111">
        <f t="shared" si="95"/>
        <v>1070253001.1874938</v>
      </c>
      <c r="BR97" s="111">
        <f t="shared" si="95"/>
        <v>1044548281.7205513</v>
      </c>
      <c r="BS97" s="111">
        <f t="shared" si="95"/>
        <v>1019482076.0230453</v>
      </c>
      <c r="BT97" s="111">
        <f t="shared" si="95"/>
        <v>995278898.42015398</v>
      </c>
      <c r="BU97" s="111">
        <f t="shared" si="95"/>
        <v>972673683.17981195</v>
      </c>
      <c r="BV97" s="111">
        <f t="shared" si="95"/>
        <v>951099828.32527256</v>
      </c>
      <c r="BW97" s="111">
        <f t="shared" si="95"/>
        <v>929579265.12788498</v>
      </c>
      <c r="BX97" s="111">
        <f t="shared" si="95"/>
        <v>909473755.11996484</v>
      </c>
      <c r="BY97" s="111">
        <f t="shared" si="95"/>
        <v>889051423.00600588</v>
      </c>
      <c r="CA97" s="9">
        <f t="shared" ref="CA97:DJ97" si="96">(D96-D97)/D96</f>
        <v>0</v>
      </c>
      <c r="CB97" s="9">
        <f t="shared" si="96"/>
        <v>0</v>
      </c>
      <c r="CC97" s="9">
        <f t="shared" si="96"/>
        <v>0</v>
      </c>
      <c r="CD97" s="9">
        <f t="shared" si="96"/>
        <v>0</v>
      </c>
      <c r="CE97" s="9">
        <f t="shared" si="96"/>
        <v>0</v>
      </c>
      <c r="CF97" s="9">
        <f t="shared" si="96"/>
        <v>0.45695959681651754</v>
      </c>
      <c r="CG97" s="9">
        <f t="shared" si="96"/>
        <v>0.44472601082437557</v>
      </c>
      <c r="CH97" s="9">
        <f t="shared" si="96"/>
        <v>0.43627610724790872</v>
      </c>
      <c r="CI97" s="9">
        <f t="shared" si="96"/>
        <v>0.43007689974592656</v>
      </c>
      <c r="CJ97" s="9">
        <f t="shared" si="96"/>
        <v>0.42330528971688486</v>
      </c>
      <c r="CK97" s="9">
        <f t="shared" si="96"/>
        <v>0.41707092853688998</v>
      </c>
      <c r="CL97" s="9">
        <f t="shared" si="96"/>
        <v>0.41053831766181859</v>
      </c>
      <c r="CM97" s="9">
        <f t="shared" si="96"/>
        <v>0.40531024118847414</v>
      </c>
      <c r="CN97" s="9">
        <f t="shared" si="96"/>
        <v>0.39906985278161256</v>
      </c>
      <c r="CO97" s="9">
        <f t="shared" si="96"/>
        <v>0.39354648616847676</v>
      </c>
      <c r="CP97" s="9">
        <f t="shared" si="96"/>
        <v>0.3879955243506874</v>
      </c>
      <c r="CQ97" s="9">
        <f t="shared" si="96"/>
        <v>0.38268025095963676</v>
      </c>
      <c r="CR97" s="9">
        <f t="shared" si="96"/>
        <v>0.37785090987611941</v>
      </c>
      <c r="CS97" s="9">
        <f t="shared" si="96"/>
        <v>0.37272475310658748</v>
      </c>
      <c r="CT97" s="9">
        <f t="shared" si="96"/>
        <v>0.36806466236873436</v>
      </c>
      <c r="CU97" s="9">
        <f t="shared" si="96"/>
        <v>0.36289750634061624</v>
      </c>
      <c r="CV97" s="9">
        <f t="shared" si="96"/>
        <v>0.35745244388269048</v>
      </c>
      <c r="CW97" s="9">
        <f t="shared" si="96"/>
        <v>0.35208245646369024</v>
      </c>
      <c r="CX97" s="9">
        <f t="shared" si="96"/>
        <v>0.34723811382686209</v>
      </c>
      <c r="CY97" s="9">
        <f t="shared" si="96"/>
        <v>0.34185963413506754</v>
      </c>
      <c r="CZ97" s="9">
        <f t="shared" si="96"/>
        <v>0.33704853133692597</v>
      </c>
      <c r="DA97" s="9">
        <f t="shared" si="96"/>
        <v>0.33208100140743702</v>
      </c>
      <c r="DB97" s="9">
        <f t="shared" si="96"/>
        <v>0.32803762748435267</v>
      </c>
      <c r="DC97" s="9">
        <f t="shared" si="96"/>
        <v>0.32357743250294785</v>
      </c>
      <c r="DD97" s="9">
        <f t="shared" si="96"/>
        <v>0.31908300009120083</v>
      </c>
      <c r="DE97" s="9">
        <f t="shared" si="96"/>
        <v>0.31476958533684668</v>
      </c>
      <c r="DF97" s="9">
        <f t="shared" si="96"/>
        <v>0.31072037450033752</v>
      </c>
      <c r="DG97" s="9">
        <f t="shared" si="96"/>
        <v>0.30677242302133073</v>
      </c>
      <c r="DH97" s="9">
        <f t="shared" si="96"/>
        <v>0.30291609502435224</v>
      </c>
      <c r="DI97" s="9">
        <f t="shared" si="96"/>
        <v>0.29898659331191746</v>
      </c>
      <c r="DJ97" s="9">
        <f t="shared" si="96"/>
        <v>0.29508057141202976</v>
      </c>
    </row>
    <row r="98" spans="1:114" x14ac:dyDescent="0.3">
      <c r="A98" t="s">
        <v>726</v>
      </c>
      <c r="B98" t="s">
        <v>686</v>
      </c>
      <c r="C98" t="s">
        <v>22</v>
      </c>
      <c r="D98">
        <v>8.1755339499999996E-2</v>
      </c>
      <c r="E98">
        <v>8.4071122799999995E-2</v>
      </c>
      <c r="F98">
        <v>8.5088139500000007E-2</v>
      </c>
      <c r="G98">
        <v>8.6336642500000005E-2</v>
      </c>
      <c r="H98">
        <v>8.7456534200000005E-2</v>
      </c>
      <c r="I98">
        <v>8.8342426099999996E-2</v>
      </c>
      <c r="J98">
        <v>8.8953977700000006E-2</v>
      </c>
      <c r="K98">
        <v>8.9432380300000003E-2</v>
      </c>
      <c r="L98">
        <v>8.9738845600000006E-2</v>
      </c>
      <c r="M98">
        <v>8.9912776599999994E-2</v>
      </c>
      <c r="N98">
        <v>9.0131241900000006E-2</v>
      </c>
      <c r="O98">
        <v>9.0598574000000001E-2</v>
      </c>
      <c r="P98">
        <v>9.1301864100000005E-2</v>
      </c>
      <c r="Q98">
        <v>9.2097228000000003E-2</v>
      </c>
      <c r="R98">
        <v>9.2921589200000002E-2</v>
      </c>
      <c r="S98">
        <v>9.3782125999999993E-2</v>
      </c>
      <c r="T98">
        <v>9.4715410099999994E-2</v>
      </c>
      <c r="U98">
        <v>9.5574083399999996E-2</v>
      </c>
      <c r="V98">
        <v>9.6380603999999995E-2</v>
      </c>
      <c r="W98">
        <v>9.7207407300000007E-2</v>
      </c>
      <c r="X98">
        <v>9.8053280000000007E-2</v>
      </c>
      <c r="Y98">
        <v>9.8876612500000002E-2</v>
      </c>
      <c r="Z98">
        <v>9.9684386900000005E-2</v>
      </c>
      <c r="AA98">
        <v>0.1005448406</v>
      </c>
      <c r="AB98">
        <v>0.1014310075</v>
      </c>
      <c r="AC98">
        <v>0.1023005698</v>
      </c>
      <c r="AD98">
        <v>0.103193479</v>
      </c>
      <c r="AE98">
        <v>0.10407107779999999</v>
      </c>
      <c r="AF98">
        <v>0.10490496370000001</v>
      </c>
      <c r="AG98">
        <v>0.1057201131</v>
      </c>
      <c r="AH98">
        <v>0.1065230264</v>
      </c>
      <c r="AI98">
        <v>0.1073353289</v>
      </c>
      <c r="AJ98">
        <v>0.1081527009</v>
      </c>
      <c r="AK98">
        <v>0.108931631</v>
      </c>
      <c r="AL98">
        <v>0.1096463543</v>
      </c>
      <c r="AM98">
        <v>0.11037302340000001</v>
      </c>
      <c r="AO98" t="str">
        <f t="shared" si="64"/>
        <v>Baseline uncompeted_Prospective Commercial NVC HPWH (FS)</v>
      </c>
      <c r="AP98" s="111"/>
      <c r="AQ98" s="111"/>
      <c r="AR98" s="111"/>
      <c r="AS98" s="111"/>
      <c r="AT98" s="111"/>
      <c r="AU98" s="209"/>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1"/>
      <c r="BR98" s="111"/>
      <c r="BS98" s="111"/>
      <c r="BT98" s="111"/>
      <c r="BU98" s="111"/>
      <c r="BV98" s="111"/>
      <c r="BW98" s="111"/>
      <c r="BX98" s="111"/>
      <c r="BY98" s="111"/>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row>
    <row r="99" spans="1:114" x14ac:dyDescent="0.3">
      <c r="A99" t="s">
        <v>726</v>
      </c>
      <c r="B99" t="s">
        <v>685</v>
      </c>
      <c r="C99" t="s">
        <v>22</v>
      </c>
      <c r="D99">
        <v>8.1755339499999996E-2</v>
      </c>
      <c r="E99">
        <v>8.4071122799999995E-2</v>
      </c>
      <c r="F99">
        <v>8.5088139500000007E-2</v>
      </c>
      <c r="G99">
        <v>8.6336642500000005E-2</v>
      </c>
      <c r="H99">
        <v>8.7456534200000005E-2</v>
      </c>
      <c r="I99">
        <v>8.8568215306786102E-2</v>
      </c>
      <c r="J99">
        <v>8.8004131068050204E-2</v>
      </c>
      <c r="K99">
        <v>8.7471326566982005E-2</v>
      </c>
      <c r="L99">
        <v>8.6993246779702493E-2</v>
      </c>
      <c r="M99">
        <v>8.6838955877545504E-2</v>
      </c>
      <c r="N99">
        <v>8.6519912477369093E-2</v>
      </c>
      <c r="O99">
        <v>8.6536208760592495E-2</v>
      </c>
      <c r="P99">
        <v>8.6890627551001506E-2</v>
      </c>
      <c r="Q99">
        <v>8.7410330256495805E-2</v>
      </c>
      <c r="R99">
        <v>8.8197818294056804E-2</v>
      </c>
      <c r="S99">
        <v>8.8930765584723695E-2</v>
      </c>
      <c r="T99">
        <v>8.9642760137529295E-2</v>
      </c>
      <c r="U99">
        <v>8.9985321666021398E-2</v>
      </c>
      <c r="V99">
        <v>9.0577920251759106E-2</v>
      </c>
      <c r="W99">
        <v>9.1099743688628804E-2</v>
      </c>
      <c r="X99">
        <v>9.1796358766197197E-2</v>
      </c>
      <c r="Y99">
        <v>9.2555629030474304E-2</v>
      </c>
      <c r="Z99">
        <v>9.3168040255153697E-2</v>
      </c>
      <c r="AA99">
        <v>9.3870985361862197E-2</v>
      </c>
      <c r="AB99">
        <v>9.4639126212836905E-2</v>
      </c>
      <c r="AC99">
        <v>9.5353190562432799E-2</v>
      </c>
      <c r="AD99">
        <v>9.6047630887926005E-2</v>
      </c>
      <c r="AE99">
        <v>9.6698768290016904E-2</v>
      </c>
      <c r="AF99">
        <v>9.7327167790983896E-2</v>
      </c>
      <c r="AG99">
        <v>9.7942320171044803E-2</v>
      </c>
      <c r="AH99">
        <v>9.8542198974527706E-2</v>
      </c>
      <c r="AI99">
        <v>9.9171956987051793E-2</v>
      </c>
      <c r="AJ99">
        <v>9.9882162408674605E-2</v>
      </c>
      <c r="AK99">
        <v>0.100500530820166</v>
      </c>
      <c r="AL99">
        <v>0.101099473029445</v>
      </c>
      <c r="AM99">
        <v>0.101653960035176</v>
      </c>
      <c r="AO99" t="str">
        <f t="shared" ref="AO99:AO109" si="97">CONCATENATE(B99,"_",A99)</f>
        <v>Efficient uncompeted_Prospective Commercial NVC HPWH (FS)</v>
      </c>
      <c r="AP99" s="111">
        <f t="shared" ref="AP99:BY99" si="98">(D98-D99)*293071083333.33</f>
        <v>0</v>
      </c>
      <c r="AQ99" s="111">
        <f t="shared" si="98"/>
        <v>0</v>
      </c>
      <c r="AR99" s="111">
        <f t="shared" si="98"/>
        <v>0</v>
      </c>
      <c r="AS99" s="111">
        <f t="shared" si="98"/>
        <v>0</v>
      </c>
      <c r="AT99" s="111">
        <f t="shared" si="98"/>
        <v>0</v>
      </c>
      <c r="AU99" s="209">
        <f t="shared" si="98"/>
        <v>-66172287.4377774</v>
      </c>
      <c r="AV99" s="111">
        <f t="shared" si="98"/>
        <v>278372581.42604333</v>
      </c>
      <c r="AW99" s="111">
        <f t="shared" si="98"/>
        <v>574728142.01045549</v>
      </c>
      <c r="AX99" s="111">
        <f t="shared" si="98"/>
        <v>804655620.66330481</v>
      </c>
      <c r="AY99" s="111">
        <f t="shared" si="98"/>
        <v>900847969.10217655</v>
      </c>
      <c r="AZ99" s="111">
        <f t="shared" si="98"/>
        <v>1058376226.1639708</v>
      </c>
      <c r="BA99" s="111">
        <f t="shared" si="98"/>
        <v>1190561781.6088204</v>
      </c>
      <c r="BB99" s="111">
        <f t="shared" si="98"/>
        <v>1292805874.25457</v>
      </c>
      <c r="BC99" s="111">
        <f t="shared" si="98"/>
        <v>1373594199.1613152</v>
      </c>
      <c r="BD99" s="111">
        <f t="shared" si="98"/>
        <v>1384400656.8232386</v>
      </c>
      <c r="BE99" s="111">
        <f t="shared" si="98"/>
        <v>1421793452.5454586</v>
      </c>
      <c r="BF99" s="111">
        <f t="shared" si="98"/>
        <v>1486647019.8720636</v>
      </c>
      <c r="BG99" s="111">
        <f t="shared" si="98"/>
        <v>1637904455.8689675</v>
      </c>
      <c r="BH99" s="111">
        <f t="shared" si="98"/>
        <v>1700598812.3376653</v>
      </c>
      <c r="BI99" s="111">
        <f t="shared" si="98"/>
        <v>1789979591.2201171</v>
      </c>
      <c r="BJ99" s="111">
        <f t="shared" si="98"/>
        <v>1833722684.3219051</v>
      </c>
      <c r="BK99" s="111">
        <f t="shared" si="98"/>
        <v>1852497473.1459675</v>
      </c>
      <c r="BL99" s="111">
        <f t="shared" si="98"/>
        <v>1909752770.5806177</v>
      </c>
      <c r="BM99" s="111">
        <f t="shared" si="98"/>
        <v>1955913984.6508665</v>
      </c>
      <c r="BN99" s="111">
        <f t="shared" si="98"/>
        <v>1990504006.7002611</v>
      </c>
      <c r="BO99" s="111">
        <f t="shared" si="98"/>
        <v>2036075959.4813054</v>
      </c>
      <c r="BP99" s="111">
        <f t="shared" si="98"/>
        <v>2094241447.5409579</v>
      </c>
      <c r="BQ99" s="111">
        <f t="shared" si="98"/>
        <v>2160610734.759356</v>
      </c>
      <c r="BR99" s="111">
        <f t="shared" si="98"/>
        <v>2220832856.334228</v>
      </c>
      <c r="BS99" s="111">
        <f t="shared" si="98"/>
        <v>2279446199.6312132</v>
      </c>
      <c r="BT99" s="111">
        <f t="shared" si="98"/>
        <v>2338949739.479516</v>
      </c>
      <c r="BU99" s="111">
        <f t="shared" si="98"/>
        <v>2392448250.1806092</v>
      </c>
      <c r="BV99" s="111">
        <f t="shared" si="98"/>
        <v>2423855675.4027371</v>
      </c>
      <c r="BW99" s="111">
        <f t="shared" si="98"/>
        <v>2470911663.3957858</v>
      </c>
      <c r="BX99" s="111">
        <f t="shared" si="98"/>
        <v>2504843753.0829024</v>
      </c>
      <c r="BY99" s="111">
        <f t="shared" si="98"/>
        <v>2555305345.9809203</v>
      </c>
      <c r="CA99" s="9">
        <f t="shared" ref="CA99:DJ99" si="99">(D98-D99)/D98</f>
        <v>0</v>
      </c>
      <c r="CB99" s="9">
        <f t="shared" si="99"/>
        <v>0</v>
      </c>
      <c r="CC99" s="9">
        <f t="shared" si="99"/>
        <v>0</v>
      </c>
      <c r="CD99" s="9">
        <f t="shared" si="99"/>
        <v>0</v>
      </c>
      <c r="CE99" s="9">
        <f t="shared" si="99"/>
        <v>0</v>
      </c>
      <c r="CF99" s="9">
        <f t="shared" si="99"/>
        <v>-2.5558411371963234E-3</v>
      </c>
      <c r="CG99" s="9">
        <f t="shared" si="99"/>
        <v>1.0677955685727611E-2</v>
      </c>
      <c r="CH99" s="9">
        <f t="shared" si="99"/>
        <v>2.1927781933564365E-2</v>
      </c>
      <c r="CI99" s="9">
        <f t="shared" si="99"/>
        <v>3.0595432802152205E-2</v>
      </c>
      <c r="CJ99" s="9">
        <f t="shared" si="99"/>
        <v>3.4186695580864644E-2</v>
      </c>
      <c r="CK99" s="9">
        <f t="shared" si="99"/>
        <v>4.0067454375450166E-2</v>
      </c>
      <c r="CL99" s="9">
        <f t="shared" si="99"/>
        <v>4.4839174172956693E-2</v>
      </c>
      <c r="CM99" s="9">
        <f t="shared" si="99"/>
        <v>4.8314857450960827E-2</v>
      </c>
      <c r="CN99" s="9">
        <f t="shared" si="99"/>
        <v>5.0890758009613471E-2</v>
      </c>
      <c r="CO99" s="9">
        <f t="shared" si="99"/>
        <v>5.0836096827573389E-2</v>
      </c>
      <c r="CP99" s="9">
        <f t="shared" si="99"/>
        <v>5.1730117690830538E-2</v>
      </c>
      <c r="CQ99" s="9">
        <f t="shared" si="99"/>
        <v>5.3556754461761016E-2</v>
      </c>
      <c r="CR99" s="9">
        <f t="shared" si="99"/>
        <v>5.8475703194435222E-2</v>
      </c>
      <c r="CS99" s="9">
        <f t="shared" si="99"/>
        <v>6.0205928448434386E-2</v>
      </c>
      <c r="CT99" s="9">
        <f t="shared" si="99"/>
        <v>6.283125721604553E-2</v>
      </c>
      <c r="CU99" s="9">
        <f t="shared" si="99"/>
        <v>6.3811442450500466E-2</v>
      </c>
      <c r="CV99" s="9">
        <f t="shared" si="99"/>
        <v>6.3927993786454793E-2</v>
      </c>
      <c r="CW99" s="9">
        <f t="shared" si="99"/>
        <v>6.5369782044035499E-2</v>
      </c>
      <c r="CX99" s="9">
        <f t="shared" si="99"/>
        <v>6.6376904059041369E-2</v>
      </c>
      <c r="CY99" s="9">
        <f t="shared" si="99"/>
        <v>6.6960601640115802E-2</v>
      </c>
      <c r="CZ99" s="9">
        <f t="shared" si="99"/>
        <v>6.7911442244647249E-2</v>
      </c>
      <c r="DA99" s="9">
        <f t="shared" si="99"/>
        <v>6.9247089848322674E-2</v>
      </c>
      <c r="DB99" s="9">
        <f t="shared" si="99"/>
        <v>7.0839177087710453E-2</v>
      </c>
      <c r="DC99" s="9">
        <f t="shared" si="99"/>
        <v>7.2234865174602883E-2</v>
      </c>
      <c r="DD99" s="9">
        <f t="shared" si="99"/>
        <v>7.3569661447469598E-2</v>
      </c>
      <c r="DE99" s="9">
        <f t="shared" si="99"/>
        <v>7.4921147992020362E-2</v>
      </c>
      <c r="DF99" s="9">
        <f t="shared" si="99"/>
        <v>7.6054846028875453E-2</v>
      </c>
      <c r="DG99" s="9">
        <f t="shared" si="99"/>
        <v>7.6470938057963858E-2</v>
      </c>
      <c r="DH99" s="9">
        <f t="shared" si="99"/>
        <v>7.7398089998615791E-2</v>
      </c>
      <c r="DI99" s="9">
        <f t="shared" si="99"/>
        <v>7.7949525318189272E-2</v>
      </c>
      <c r="DJ99" s="9">
        <f t="shared" si="99"/>
        <v>7.8996326242015427E-2</v>
      </c>
    </row>
    <row r="100" spans="1:114" x14ac:dyDescent="0.3">
      <c r="A100" t="s">
        <v>725</v>
      </c>
      <c r="B100" t="s">
        <v>686</v>
      </c>
      <c r="C100" t="s">
        <v>696</v>
      </c>
      <c r="D100">
        <v>3.5570502984524098E-2</v>
      </c>
      <c r="E100">
        <v>3.7730084134296703E-2</v>
      </c>
      <c r="F100">
        <v>3.6749395032653398E-2</v>
      </c>
      <c r="G100">
        <v>3.9653408900388203E-2</v>
      </c>
      <c r="H100">
        <v>3.6492650287710898E-2</v>
      </c>
      <c r="I100">
        <v>3.7103319696280002E-2</v>
      </c>
      <c r="J100">
        <v>3.6519574610597398E-2</v>
      </c>
      <c r="K100">
        <v>3.5937386235814599E-2</v>
      </c>
      <c r="L100">
        <v>3.5267857367428303E-2</v>
      </c>
      <c r="M100">
        <v>3.4695755661975497E-2</v>
      </c>
      <c r="N100">
        <v>3.3989800023821702E-2</v>
      </c>
      <c r="O100">
        <v>3.33747931183144E-2</v>
      </c>
      <c r="P100">
        <v>3.2855008914987702E-2</v>
      </c>
      <c r="Q100">
        <v>3.2419646495653397E-2</v>
      </c>
      <c r="R100">
        <v>3.2116070576789703E-2</v>
      </c>
      <c r="S100">
        <v>3.1808259504731602E-2</v>
      </c>
      <c r="T100">
        <v>3.1487371828956598E-2</v>
      </c>
      <c r="U100">
        <v>3.1065000798692E-2</v>
      </c>
      <c r="V100">
        <v>3.0781753020699999E-2</v>
      </c>
      <c r="W100">
        <v>3.0490559163228799E-2</v>
      </c>
      <c r="X100">
        <v>3.0268806118960701E-2</v>
      </c>
      <c r="Y100">
        <v>3.0074413481251599E-2</v>
      </c>
      <c r="Z100">
        <v>2.9838140602749801E-2</v>
      </c>
      <c r="AA100">
        <v>2.9616477856273402E-2</v>
      </c>
      <c r="AB100">
        <v>2.9435669774590899E-2</v>
      </c>
      <c r="AC100">
        <v>2.92795099677449E-2</v>
      </c>
      <c r="AD100">
        <v>2.9101032695295799E-2</v>
      </c>
      <c r="AE100">
        <v>2.89489732483958E-2</v>
      </c>
      <c r="AF100">
        <v>2.88148466981058E-2</v>
      </c>
      <c r="AG100">
        <v>2.86821273281768E-2</v>
      </c>
      <c r="AH100">
        <v>2.85547545686601E-2</v>
      </c>
      <c r="AI100">
        <v>2.8443202296008101E-2</v>
      </c>
      <c r="AJ100">
        <v>2.8351407975555298E-2</v>
      </c>
      <c r="AK100">
        <v>2.8239161049748201E-2</v>
      </c>
      <c r="AL100">
        <v>2.81581477538798E-2</v>
      </c>
      <c r="AM100">
        <v>2.8089437172343301E-2</v>
      </c>
      <c r="AO100" t="str">
        <f t="shared" si="97"/>
        <v>Baseline uncompeted_Prospective Commercial NVC HVAC</v>
      </c>
      <c r="AP100" s="111"/>
      <c r="AQ100" s="111"/>
      <c r="AR100" s="111"/>
      <c r="AS100" s="111"/>
      <c r="AT100" s="111"/>
      <c r="AU100" s="209"/>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row>
    <row r="101" spans="1:114" x14ac:dyDescent="0.3">
      <c r="A101" t="s">
        <v>725</v>
      </c>
      <c r="B101" t="s">
        <v>685</v>
      </c>
      <c r="C101" t="s">
        <v>696</v>
      </c>
      <c r="D101">
        <v>3.5570502984524098E-2</v>
      </c>
      <c r="E101">
        <v>3.7730084134296703E-2</v>
      </c>
      <c r="F101">
        <v>3.6749395032653398E-2</v>
      </c>
      <c r="G101">
        <v>3.9653408900388203E-2</v>
      </c>
      <c r="H101">
        <v>3.6492650287710898E-2</v>
      </c>
      <c r="I101">
        <v>1.7787520564658699E-2</v>
      </c>
      <c r="J101">
        <v>1.7503216506829299E-2</v>
      </c>
      <c r="K101">
        <v>1.7219816139152799E-2</v>
      </c>
      <c r="L101">
        <v>1.6898502164895701E-2</v>
      </c>
      <c r="M101">
        <v>1.66263335978343E-2</v>
      </c>
      <c r="N101">
        <v>1.6290651172497499E-2</v>
      </c>
      <c r="O101">
        <v>1.5999957000301102E-2</v>
      </c>
      <c r="P101">
        <v>1.57557156751701E-2</v>
      </c>
      <c r="Q101">
        <v>1.55530091954314E-2</v>
      </c>
      <c r="R101">
        <v>1.5414437527266499E-2</v>
      </c>
      <c r="S101">
        <v>1.5274283878890699E-2</v>
      </c>
      <c r="T101">
        <v>1.5128188118569801E-2</v>
      </c>
      <c r="U101">
        <v>1.49342789430119E-2</v>
      </c>
      <c r="V101">
        <v>1.48073955022818E-2</v>
      </c>
      <c r="W101">
        <v>1.4677306342074E-2</v>
      </c>
      <c r="X101">
        <v>1.4581097532474101E-2</v>
      </c>
      <c r="Y101">
        <v>1.4498208720321801E-2</v>
      </c>
      <c r="Z101">
        <v>1.4395126693180899E-2</v>
      </c>
      <c r="AA101">
        <v>1.4299607647229101E-2</v>
      </c>
      <c r="AB101">
        <v>1.4224000764365899E-2</v>
      </c>
      <c r="AC101">
        <v>1.4160302653402099E-2</v>
      </c>
      <c r="AD101">
        <v>1.4085645203392E-2</v>
      </c>
      <c r="AE101">
        <v>1.40239250656626E-2</v>
      </c>
      <c r="AF101">
        <v>1.39707732470163E-2</v>
      </c>
      <c r="AG101">
        <v>1.3918256454992501E-2</v>
      </c>
      <c r="AH101">
        <v>1.38678070382989E-2</v>
      </c>
      <c r="AI101">
        <v>1.3825265571938101E-2</v>
      </c>
      <c r="AJ101">
        <v>1.3791734529471199E-2</v>
      </c>
      <c r="AK101">
        <v>1.3748590307679699E-2</v>
      </c>
      <c r="AL101">
        <v>1.37202979706044E-2</v>
      </c>
      <c r="AM101">
        <v>1.36978309979757E-2</v>
      </c>
      <c r="AO101" t="str">
        <f t="shared" si="97"/>
        <v>Efficient uncompeted_Prospective Commercial NVC HVAC</v>
      </c>
      <c r="AP101" s="111">
        <f t="shared" ref="AP101:BY101" si="100">(D100-D101)*293071083333.33</f>
        <v>0</v>
      </c>
      <c r="AQ101" s="111">
        <f t="shared" si="100"/>
        <v>0</v>
      </c>
      <c r="AR101" s="111">
        <f t="shared" si="100"/>
        <v>0</v>
      </c>
      <c r="AS101" s="111">
        <f t="shared" si="100"/>
        <v>0</v>
      </c>
      <c r="AT101" s="111">
        <f t="shared" si="100"/>
        <v>0</v>
      </c>
      <c r="AU101" s="209">
        <f t="shared" si="100"/>
        <v>5660902176.9532499</v>
      </c>
      <c r="AV101" s="111">
        <f t="shared" si="100"/>
        <v>5573144670.5258665</v>
      </c>
      <c r="AW101" s="111">
        <f t="shared" si="100"/>
        <v>5485578545.5962162</v>
      </c>
      <c r="AX101" s="111">
        <f t="shared" si="100"/>
        <v>5383526829.3409719</v>
      </c>
      <c r="AY101" s="111">
        <f t="shared" si="100"/>
        <v>5295625099.5450373</v>
      </c>
      <c r="AZ101" s="111">
        <f t="shared" si="100"/>
        <v>5187108727.9354477</v>
      </c>
      <c r="BA101" s="111">
        <f t="shared" si="100"/>
        <v>5092062043.8452272</v>
      </c>
      <c r="BB101" s="111">
        <f t="shared" si="100"/>
        <v>5011308394.0276308</v>
      </c>
      <c r="BC101" s="111">
        <f t="shared" si="100"/>
        <v>4943123665.7664137</v>
      </c>
      <c r="BD101" s="111">
        <f t="shared" si="100"/>
        <v>4894765691.2595139</v>
      </c>
      <c r="BE101" s="111">
        <f t="shared" si="100"/>
        <v>4845630148.4720669</v>
      </c>
      <c r="BF101" s="111">
        <f t="shared" si="100"/>
        <v>4794403692.4520245</v>
      </c>
      <c r="BG101" s="111">
        <f t="shared" si="100"/>
        <v>4727448129.19279</v>
      </c>
      <c r="BH101" s="111">
        <f t="shared" si="100"/>
        <v>4681622263.4767466</v>
      </c>
      <c r="BI101" s="111">
        <f t="shared" si="100"/>
        <v>4634407135.3196735</v>
      </c>
      <c r="BJ101" s="111">
        <f t="shared" si="100"/>
        <v>4597613750.4592113</v>
      </c>
      <c r="BK101" s="111">
        <f t="shared" si="100"/>
        <v>4564935203.5074682</v>
      </c>
      <c r="BL101" s="111">
        <f t="shared" si="100"/>
        <v>4525900816.4090424</v>
      </c>
      <c r="BM101" s="111">
        <f t="shared" si="100"/>
        <v>4488931745.4406223</v>
      </c>
      <c r="BN101" s="111">
        <f t="shared" si="100"/>
        <v>4458100316.1346846</v>
      </c>
      <c r="BO101" s="111">
        <f t="shared" si="100"/>
        <v>4431002466.7556515</v>
      </c>
      <c r="BP101" s="111">
        <f t="shared" si="100"/>
        <v>4400575878.921979</v>
      </c>
      <c r="BQ101" s="111">
        <f t="shared" si="100"/>
        <v>4374100039.7157669</v>
      </c>
      <c r="BR101" s="111">
        <f t="shared" si="100"/>
        <v>4350368687.3903227</v>
      </c>
      <c r="BS101" s="111">
        <f t="shared" si="100"/>
        <v>4326863630.9975195</v>
      </c>
      <c r="BT101" s="111">
        <f t="shared" si="100"/>
        <v>4304319623.5827332</v>
      </c>
      <c r="BU101" s="111">
        <f t="shared" si="100"/>
        <v>4284094551.8212643</v>
      </c>
      <c r="BV101" s="111">
        <f t="shared" si="100"/>
        <v>4267019269.8233852</v>
      </c>
      <c r="BW101" s="111">
        <f t="shared" si="100"/>
        <v>4246767265.4962716</v>
      </c>
      <c r="BX101" s="111">
        <f t="shared" si="100"/>
        <v>4231316276.9884057</v>
      </c>
      <c r="BY101" s="111">
        <f t="shared" si="100"/>
        <v>4217763612.4285541</v>
      </c>
      <c r="CA101" s="9">
        <f t="shared" ref="CA101:DJ101" si="101">(D100-D101)/D100</f>
        <v>0</v>
      </c>
      <c r="CB101" s="9">
        <f t="shared" si="101"/>
        <v>0</v>
      </c>
      <c r="CC101" s="9">
        <f t="shared" si="101"/>
        <v>0</v>
      </c>
      <c r="CD101" s="9">
        <f t="shared" si="101"/>
        <v>0</v>
      </c>
      <c r="CE101" s="9">
        <f t="shared" si="101"/>
        <v>0</v>
      </c>
      <c r="CF101" s="9">
        <f t="shared" si="101"/>
        <v>0.52059490336003311</v>
      </c>
      <c r="CG101" s="9">
        <f t="shared" si="101"/>
        <v>0.52071685682367874</v>
      </c>
      <c r="CH101" s="9">
        <f t="shared" si="101"/>
        <v>0.52083838189679421</v>
      </c>
      <c r="CI101" s="9">
        <f t="shared" si="101"/>
        <v>0.52085259989447663</v>
      </c>
      <c r="CJ101" s="9">
        <f t="shared" si="101"/>
        <v>0.52079632564233835</v>
      </c>
      <c r="CK101" s="9">
        <f t="shared" si="101"/>
        <v>0.52071941696979041</v>
      </c>
      <c r="CL101" s="9">
        <f t="shared" si="101"/>
        <v>0.52059756764391341</v>
      </c>
      <c r="CM101" s="9">
        <f t="shared" si="101"/>
        <v>0.52044707350596076</v>
      </c>
      <c r="CN101" s="9">
        <f t="shared" si="101"/>
        <v>0.5202597536800212</v>
      </c>
      <c r="CO101" s="9">
        <f t="shared" si="101"/>
        <v>0.52003974177318824</v>
      </c>
      <c r="CP101" s="9">
        <f t="shared" si="101"/>
        <v>0.51980133095246561</v>
      </c>
      <c r="CQ101" s="9">
        <f t="shared" si="101"/>
        <v>0.51954744902978756</v>
      </c>
      <c r="CR101" s="9">
        <f t="shared" si="101"/>
        <v>0.51925708807190141</v>
      </c>
      <c r="CS101" s="9">
        <f t="shared" si="101"/>
        <v>0.51895541841544313</v>
      </c>
      <c r="CT101" s="9">
        <f t="shared" si="101"/>
        <v>0.51862783940759494</v>
      </c>
      <c r="CU101" s="9">
        <f t="shared" si="101"/>
        <v>0.51827972748022111</v>
      </c>
      <c r="CV101" s="9">
        <f t="shared" si="101"/>
        <v>0.51792214570169459</v>
      </c>
      <c r="CW101" s="9">
        <f t="shared" si="101"/>
        <v>0.51755952608339528</v>
      </c>
      <c r="CX101" s="9">
        <f t="shared" si="101"/>
        <v>0.51717392876276347</v>
      </c>
      <c r="CY101" s="9">
        <f t="shared" si="101"/>
        <v>0.51677672452202306</v>
      </c>
      <c r="CZ101" s="9">
        <f t="shared" si="101"/>
        <v>0.51637501211593118</v>
      </c>
      <c r="DA101" s="9">
        <f t="shared" si="101"/>
        <v>0.5159743865148485</v>
      </c>
      <c r="DB101" s="9">
        <f t="shared" si="101"/>
        <v>0.51556399098058747</v>
      </c>
      <c r="DC101" s="9">
        <f t="shared" si="101"/>
        <v>0.51515365001283531</v>
      </c>
      <c r="DD101" s="9">
        <f t="shared" si="101"/>
        <v>0.51474113841899516</v>
      </c>
      <c r="DE101" s="9">
        <f t="shared" si="101"/>
        <v>0.51434332923598891</v>
      </c>
      <c r="DF101" s="9">
        <f t="shared" si="101"/>
        <v>0.51393428109610473</v>
      </c>
      <c r="DG101" s="9">
        <f t="shared" si="101"/>
        <v>0.51354322362534899</v>
      </c>
      <c r="DH101" s="9">
        <f t="shared" si="101"/>
        <v>0.51313743763636732</v>
      </c>
      <c r="DI101" s="9">
        <f t="shared" si="101"/>
        <v>0.51274145975336982</v>
      </c>
      <c r="DJ101" s="9">
        <f t="shared" si="101"/>
        <v>0.51234939618290021</v>
      </c>
    </row>
    <row r="102" spans="1:114" x14ac:dyDescent="0.3">
      <c r="A102" t="s">
        <v>724</v>
      </c>
      <c r="B102" t="s">
        <v>686</v>
      </c>
      <c r="C102" t="s">
        <v>696</v>
      </c>
      <c r="D102">
        <v>0.43598606767760001</v>
      </c>
      <c r="E102">
        <v>0.4298561336401</v>
      </c>
      <c r="F102">
        <v>0.39601286324871199</v>
      </c>
      <c r="G102">
        <v>0.45278963404213701</v>
      </c>
      <c r="H102">
        <v>0.42349049172129799</v>
      </c>
      <c r="I102">
        <v>0.42975753910105302</v>
      </c>
      <c r="J102">
        <v>0.42853301182408199</v>
      </c>
      <c r="K102">
        <v>0.42640818870927599</v>
      </c>
      <c r="L102">
        <v>0.42351589419254299</v>
      </c>
      <c r="M102">
        <v>0.42058507855806998</v>
      </c>
      <c r="N102">
        <v>0.41691976974107697</v>
      </c>
      <c r="O102">
        <v>0.41410004444590798</v>
      </c>
      <c r="P102">
        <v>0.41255435146342301</v>
      </c>
      <c r="Q102">
        <v>0.41161795865254902</v>
      </c>
      <c r="R102">
        <v>0.411605387580806</v>
      </c>
      <c r="S102">
        <v>0.41141401265723498</v>
      </c>
      <c r="T102">
        <v>0.41125060256547802</v>
      </c>
      <c r="U102">
        <v>0.41027644335971902</v>
      </c>
      <c r="V102">
        <v>0.409842280268927</v>
      </c>
      <c r="W102">
        <v>0.40952569084606699</v>
      </c>
      <c r="X102">
        <v>0.40961907939731901</v>
      </c>
      <c r="Y102">
        <v>0.409749251342994</v>
      </c>
      <c r="Z102">
        <v>0.409748903602902</v>
      </c>
      <c r="AA102">
        <v>0.40999766890413297</v>
      </c>
      <c r="AB102">
        <v>0.410536813150088</v>
      </c>
      <c r="AC102">
        <v>0.41116064223709298</v>
      </c>
      <c r="AD102">
        <v>0.41164396829224098</v>
      </c>
      <c r="AE102">
        <v>0.41237197110051399</v>
      </c>
      <c r="AF102">
        <v>0.41312610623868701</v>
      </c>
      <c r="AG102">
        <v>0.41389882326114802</v>
      </c>
      <c r="AH102">
        <v>0.41468094012790202</v>
      </c>
      <c r="AI102">
        <v>0.415688138855898</v>
      </c>
      <c r="AJ102">
        <v>0.41675467524781801</v>
      </c>
      <c r="AK102">
        <v>0.41768928568064401</v>
      </c>
      <c r="AL102">
        <v>0.41878906681421002</v>
      </c>
      <c r="AM102">
        <v>0.420132809533728</v>
      </c>
      <c r="AO102" t="str">
        <f t="shared" si="97"/>
        <v>Baseline uncompeted_Prospective Commercial NVC HVAC (FS)</v>
      </c>
      <c r="AP102" s="111"/>
      <c r="AQ102" s="111"/>
      <c r="AR102" s="111"/>
      <c r="AS102" s="111"/>
      <c r="AT102" s="111"/>
      <c r="AU102" s="209"/>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row>
    <row r="103" spans="1:114" x14ac:dyDescent="0.3">
      <c r="A103" t="s">
        <v>724</v>
      </c>
      <c r="B103" t="s">
        <v>685</v>
      </c>
      <c r="C103" t="s">
        <v>696</v>
      </c>
      <c r="D103">
        <v>0.43598606767760001</v>
      </c>
      <c r="E103">
        <v>0.4298561336401</v>
      </c>
      <c r="F103">
        <v>0.39601286324871199</v>
      </c>
      <c r="G103">
        <v>0.45278963404213701</v>
      </c>
      <c r="H103">
        <v>0.42349049172129799</v>
      </c>
      <c r="I103">
        <v>0.19185799986280799</v>
      </c>
      <c r="J103">
        <v>0.19107343303832799</v>
      </c>
      <c r="K103">
        <v>0.18996048659412301</v>
      </c>
      <c r="L103">
        <v>0.18868394463386501</v>
      </c>
      <c r="M103">
        <v>0.18782173589944701</v>
      </c>
      <c r="N103">
        <v>0.186349841983214</v>
      </c>
      <c r="O103">
        <v>0.18532592261622399</v>
      </c>
      <c r="P103">
        <v>0.184971717742139</v>
      </c>
      <c r="Q103">
        <v>0.185002755747423</v>
      </c>
      <c r="R103">
        <v>0.18571341776618</v>
      </c>
      <c r="S103">
        <v>0.18624976801339499</v>
      </c>
      <c r="T103">
        <v>0.186712589281923</v>
      </c>
      <c r="U103">
        <v>0.18651435702024899</v>
      </c>
      <c r="V103">
        <v>0.186896859517445</v>
      </c>
      <c r="W103">
        <v>0.18725118821258799</v>
      </c>
      <c r="X103">
        <v>0.18794773268517301</v>
      </c>
      <c r="Y103">
        <v>0.18874024501162101</v>
      </c>
      <c r="Z103">
        <v>0.18934464901145501</v>
      </c>
      <c r="AA103">
        <v>0.19009137859033301</v>
      </c>
      <c r="AB103">
        <v>0.191031373523669</v>
      </c>
      <c r="AC103">
        <v>0.19203412381250001</v>
      </c>
      <c r="AD103">
        <v>0.19292208998601901</v>
      </c>
      <c r="AE103">
        <v>0.193938309340771</v>
      </c>
      <c r="AF103">
        <v>0.19500820285975101</v>
      </c>
      <c r="AG103">
        <v>0.196102172394928</v>
      </c>
      <c r="AH103">
        <v>0.197208968059813</v>
      </c>
      <c r="AI103">
        <v>0.198465713445558</v>
      </c>
      <c r="AJ103">
        <v>0.19982877625692899</v>
      </c>
      <c r="AK103">
        <v>0.20107027958738399</v>
      </c>
      <c r="AL103">
        <v>0.202487135250246</v>
      </c>
      <c r="AM103">
        <v>0.204003220847181</v>
      </c>
      <c r="AO103" t="str">
        <f t="shared" si="97"/>
        <v>Efficient uncompeted_Prospective Commercial NVC HVAC (FS)</v>
      </c>
      <c r="AP103" s="111">
        <f t="shared" ref="AP103:BY103" si="102">(D102-D103)*293071083333.33</f>
        <v>0</v>
      </c>
      <c r="AQ103" s="111">
        <f t="shared" si="102"/>
        <v>0</v>
      </c>
      <c r="AR103" s="111">
        <f t="shared" si="102"/>
        <v>0</v>
      </c>
      <c r="AS103" s="111">
        <f t="shared" si="102"/>
        <v>0</v>
      </c>
      <c r="AT103" s="111">
        <f t="shared" si="102"/>
        <v>0</v>
      </c>
      <c r="AU103" s="209">
        <f t="shared" si="102"/>
        <v>69721475689.052521</v>
      </c>
      <c r="AV103" s="111">
        <f t="shared" si="102"/>
        <v>69592536002.617157</v>
      </c>
      <c r="AW103" s="111">
        <f t="shared" si="102"/>
        <v>69295984210.564392</v>
      </c>
      <c r="AX103" s="111">
        <f t="shared" si="102"/>
        <v>68822453858.439667</v>
      </c>
      <c r="AY103" s="111">
        <f t="shared" si="102"/>
        <v>68216204993.249741</v>
      </c>
      <c r="AZ103" s="111">
        <f t="shared" si="102"/>
        <v>67573378512.084541</v>
      </c>
      <c r="BA103" s="111">
        <f t="shared" si="102"/>
        <v>67047079723.256706</v>
      </c>
      <c r="BB103" s="111">
        <f t="shared" si="102"/>
        <v>66697889012.549149</v>
      </c>
      <c r="BC103" s="111">
        <f t="shared" si="102"/>
        <v>66414363015.20768</v>
      </c>
      <c r="BD103" s="111">
        <f t="shared" si="102"/>
        <v>66202404309.87233</v>
      </c>
      <c r="BE103" s="111">
        <f t="shared" si="102"/>
        <v>65989129105.701141</v>
      </c>
      <c r="BF103" s="111">
        <f t="shared" si="102"/>
        <v>65805598802.525116</v>
      </c>
      <c r="BG103" s="111">
        <f t="shared" si="102"/>
        <v>65578197052.434608</v>
      </c>
      <c r="BH103" s="111">
        <f t="shared" si="102"/>
        <v>65338855983.841904</v>
      </c>
      <c r="BI103" s="111">
        <f t="shared" si="102"/>
        <v>65142229284.170807</v>
      </c>
      <c r="BJ103" s="111">
        <f t="shared" si="102"/>
        <v>64965461724.886833</v>
      </c>
      <c r="BK103" s="111">
        <f t="shared" si="102"/>
        <v>64771348911.958275</v>
      </c>
      <c r="BL103" s="111">
        <f t="shared" si="102"/>
        <v>64594113664.39045</v>
      </c>
      <c r="BM103" s="111">
        <f t="shared" si="102"/>
        <v>64448174734.079132</v>
      </c>
      <c r="BN103" s="111">
        <f t="shared" si="102"/>
        <v>64330696988.873482</v>
      </c>
      <c r="BO103" s="111">
        <f t="shared" si="102"/>
        <v>64219646141.756363</v>
      </c>
      <c r="BP103" s="111">
        <f t="shared" si="102"/>
        <v>64101057823.905243</v>
      </c>
      <c r="BQ103" s="111">
        <f t="shared" si="102"/>
        <v>64016589888.394058</v>
      </c>
      <c r="BR103" s="111">
        <f t="shared" si="102"/>
        <v>63924050237.659378</v>
      </c>
      <c r="BS103" s="111">
        <f t="shared" si="102"/>
        <v>63829900415.734154</v>
      </c>
      <c r="BT103" s="111">
        <f t="shared" si="102"/>
        <v>63734746448.630531</v>
      </c>
      <c r="BU103" s="111">
        <f t="shared" si="102"/>
        <v>63661611539.301819</v>
      </c>
      <c r="BV103" s="111">
        <f t="shared" si="102"/>
        <v>63574708220.316368</v>
      </c>
      <c r="BW103" s="111">
        <f t="shared" si="102"/>
        <v>63484766786.340927</v>
      </c>
      <c r="BX103" s="111">
        <f t="shared" si="102"/>
        <v>63391841410.542747</v>
      </c>
      <c r="BY103" s="111">
        <f t="shared" si="102"/>
        <v>63341332696.753357</v>
      </c>
      <c r="CA103" s="9">
        <f t="shared" ref="CA103:DJ103" si="103">(D102-D103)/D102</f>
        <v>0</v>
      </c>
      <c r="CB103" s="9">
        <f t="shared" si="103"/>
        <v>0</v>
      </c>
      <c r="CC103" s="9">
        <f t="shared" si="103"/>
        <v>0</v>
      </c>
      <c r="CD103" s="9">
        <f t="shared" si="103"/>
        <v>0</v>
      </c>
      <c r="CE103" s="9">
        <f t="shared" si="103"/>
        <v>0</v>
      </c>
      <c r="CF103" s="9">
        <f t="shared" si="103"/>
        <v>0.55356687804912574</v>
      </c>
      <c r="CG103" s="9">
        <f t="shared" si="103"/>
        <v>0.55412202148672285</v>
      </c>
      <c r="CH103" s="9">
        <f t="shared" si="103"/>
        <v>0.55451022840549247</v>
      </c>
      <c r="CI103" s="9">
        <f t="shared" si="103"/>
        <v>0.55448202246670897</v>
      </c>
      <c r="CJ103" s="9">
        <f t="shared" si="103"/>
        <v>0.55342748595986024</v>
      </c>
      <c r="CK103" s="9">
        <f t="shared" si="103"/>
        <v>0.55303188884771681</v>
      </c>
      <c r="CL103" s="9">
        <f t="shared" si="103"/>
        <v>0.5524609931781056</v>
      </c>
      <c r="CM103" s="9">
        <f t="shared" si="103"/>
        <v>0.55164279061412702</v>
      </c>
      <c r="CN103" s="9">
        <f t="shared" si="103"/>
        <v>0.55054741451748523</v>
      </c>
      <c r="CO103" s="9">
        <f t="shared" si="103"/>
        <v>0.54880712602499426</v>
      </c>
      <c r="CP103" s="9">
        <f t="shared" si="103"/>
        <v>0.54729357220857011</v>
      </c>
      <c r="CQ103" s="9">
        <f t="shared" si="103"/>
        <v>0.54598829006652894</v>
      </c>
      <c r="CR103" s="9">
        <f t="shared" si="103"/>
        <v>0.54539345351417512</v>
      </c>
      <c r="CS103" s="9">
        <f t="shared" si="103"/>
        <v>0.54397857782069592</v>
      </c>
      <c r="CT103" s="9">
        <f t="shared" si="103"/>
        <v>0.54276082698076156</v>
      </c>
      <c r="CU103" s="9">
        <f t="shared" si="103"/>
        <v>0.54116460355873952</v>
      </c>
      <c r="CV103" s="9">
        <f t="shared" si="103"/>
        <v>0.53937622974781274</v>
      </c>
      <c r="CW103" s="9">
        <f t="shared" si="103"/>
        <v>0.53790077936375957</v>
      </c>
      <c r="CX103" s="9">
        <f t="shared" si="103"/>
        <v>0.53635985517083318</v>
      </c>
      <c r="CY103" s="9">
        <f t="shared" si="103"/>
        <v>0.53467906554380074</v>
      </c>
      <c r="CZ103" s="9">
        <f t="shared" si="103"/>
        <v>0.53294624026352</v>
      </c>
      <c r="DA103" s="9">
        <f t="shared" si="103"/>
        <v>0.53133750316716255</v>
      </c>
      <c r="DB103" s="9">
        <f t="shared" si="103"/>
        <v>0.52970055451829112</v>
      </c>
      <c r="DC103" s="9">
        <f t="shared" si="103"/>
        <v>0.52796930546169984</v>
      </c>
      <c r="DD103" s="9">
        <f t="shared" si="103"/>
        <v>0.52620746575257105</v>
      </c>
      <c r="DE103" s="9">
        <f t="shared" si="103"/>
        <v>0.52443204165837254</v>
      </c>
      <c r="DF103" s="9">
        <f t="shared" si="103"/>
        <v>0.52256103820571631</v>
      </c>
      <c r="DG103" s="9">
        <f t="shared" si="103"/>
        <v>0.52051221467856768</v>
      </c>
      <c r="DH103" s="9">
        <f t="shared" si="103"/>
        <v>0.51861279070223054</v>
      </c>
      <c r="DI103" s="9">
        <f t="shared" si="103"/>
        <v>0.5164937404154426</v>
      </c>
      <c r="DJ103" s="9">
        <f t="shared" si="103"/>
        <v>0.51443158873122063</v>
      </c>
    </row>
    <row r="104" spans="1:114" x14ac:dyDescent="0.3">
      <c r="A104" t="s">
        <v>723</v>
      </c>
      <c r="B104" t="s">
        <v>686</v>
      </c>
      <c r="C104" t="s">
        <v>21</v>
      </c>
      <c r="D104">
        <v>0.31527574079999998</v>
      </c>
      <c r="E104">
        <v>0.31965736500000003</v>
      </c>
      <c r="F104">
        <v>0.32138821931356498</v>
      </c>
      <c r="G104">
        <v>0.32241427327970101</v>
      </c>
      <c r="H104">
        <v>0.32409609933667799</v>
      </c>
      <c r="I104">
        <v>0.324008296936801</v>
      </c>
      <c r="J104">
        <v>0.32056900830687601</v>
      </c>
      <c r="K104">
        <v>0.31755220827648201</v>
      </c>
      <c r="L104">
        <v>0.315176562425248</v>
      </c>
      <c r="M104">
        <v>0.31422131168942702</v>
      </c>
      <c r="N104">
        <v>0.31248522179280502</v>
      </c>
      <c r="O104">
        <v>0.31140056340873401</v>
      </c>
      <c r="P104">
        <v>0.31118868331069299</v>
      </c>
      <c r="Q104">
        <v>0.31166048200350399</v>
      </c>
      <c r="R104">
        <v>0.31326553576524602</v>
      </c>
      <c r="S104">
        <v>0.31414739344350401</v>
      </c>
      <c r="T104">
        <v>0.31493078304385802</v>
      </c>
      <c r="U104">
        <v>0.31483376223634701</v>
      </c>
      <c r="V104">
        <v>0.31592045823491999</v>
      </c>
      <c r="W104">
        <v>0.31679564778761099</v>
      </c>
      <c r="X104">
        <v>0.31826207703912801</v>
      </c>
      <c r="Y104">
        <v>0.32000624177417902</v>
      </c>
      <c r="Z104">
        <v>0.32132145541375201</v>
      </c>
      <c r="AA104">
        <v>0.32282029969276899</v>
      </c>
      <c r="AB104">
        <v>0.32466357646920102</v>
      </c>
      <c r="AC104">
        <v>0.32636712572155602</v>
      </c>
      <c r="AD104">
        <v>0.32794028942493603</v>
      </c>
      <c r="AE104">
        <v>0.3295927700556</v>
      </c>
      <c r="AF104">
        <v>0.33138198437482702</v>
      </c>
      <c r="AG104">
        <v>0.33329826977184202</v>
      </c>
      <c r="AH104">
        <v>0.33528239794617998</v>
      </c>
      <c r="AI104">
        <v>0.33741155207801399</v>
      </c>
      <c r="AJ104">
        <v>0.339850602290105</v>
      </c>
      <c r="AK104">
        <v>0.34212733082165198</v>
      </c>
      <c r="AL104">
        <v>0.34455583749290403</v>
      </c>
      <c r="AM104">
        <v>0.34683825747536001</v>
      </c>
      <c r="AO104" t="str">
        <f t="shared" si="97"/>
        <v>Baseline uncompeted_Prospective Commercial NVC Refrigerator</v>
      </c>
      <c r="AP104" s="111"/>
      <c r="AQ104" s="111"/>
      <c r="AR104" s="111"/>
      <c r="AS104" s="111"/>
      <c r="AT104" s="111"/>
      <c r="AU104" s="209"/>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row>
    <row r="105" spans="1:114" x14ac:dyDescent="0.3">
      <c r="A105" t="s">
        <v>723</v>
      </c>
      <c r="B105" t="s">
        <v>685</v>
      </c>
      <c r="C105" t="s">
        <v>21</v>
      </c>
      <c r="D105">
        <v>0.31527574079999998</v>
      </c>
      <c r="E105">
        <v>0.31965736500000003</v>
      </c>
      <c r="F105">
        <v>0.32138821931356498</v>
      </c>
      <c r="G105">
        <v>0.32241427327970101</v>
      </c>
      <c r="H105">
        <v>0.32409609933667799</v>
      </c>
      <c r="I105">
        <v>0.220325641917025</v>
      </c>
      <c r="J105">
        <v>0.21858698265923401</v>
      </c>
      <c r="K105">
        <v>0.217575375994046</v>
      </c>
      <c r="L105">
        <v>0.21731507591077201</v>
      </c>
      <c r="M105">
        <v>0.21825466605699101</v>
      </c>
      <c r="N105">
        <v>0.218798045354166</v>
      </c>
      <c r="O105">
        <v>0.21988229478997501</v>
      </c>
      <c r="P105">
        <v>0.221604464141678</v>
      </c>
      <c r="Q105">
        <v>0.22372216861621499</v>
      </c>
      <c r="R105">
        <v>0.22651270282298699</v>
      </c>
      <c r="S105">
        <v>0.22872350289721199</v>
      </c>
      <c r="T105">
        <v>0.23079789350728899</v>
      </c>
      <c r="U105">
        <v>0.2321545211736</v>
      </c>
      <c r="V105">
        <v>0.23431056284548599</v>
      </c>
      <c r="W105">
        <v>0.23623699082129501</v>
      </c>
      <c r="X105">
        <v>0.23853435786274099</v>
      </c>
      <c r="Y105">
        <v>0.24094337592898599</v>
      </c>
      <c r="Z105">
        <v>0.24292826854298399</v>
      </c>
      <c r="AA105">
        <v>0.24496087013847201</v>
      </c>
      <c r="AB105">
        <v>0.247171676015152</v>
      </c>
      <c r="AC105">
        <v>0.24920466623392601</v>
      </c>
      <c r="AD105">
        <v>0.25107786382327901</v>
      </c>
      <c r="AE105">
        <v>0.252955745313033</v>
      </c>
      <c r="AF105">
        <v>0.25488901237099598</v>
      </c>
      <c r="AG105">
        <v>0.25687293011578499</v>
      </c>
      <c r="AH105">
        <v>0.25886583096784499</v>
      </c>
      <c r="AI105">
        <v>0.26093387549178398</v>
      </c>
      <c r="AJ105">
        <v>0.263206035570407</v>
      </c>
      <c r="AK105">
        <v>0.26532067998442199</v>
      </c>
      <c r="AL105">
        <v>0.267523109366059</v>
      </c>
      <c r="AM105">
        <v>0.26958761243345197</v>
      </c>
      <c r="AO105" t="str">
        <f t="shared" si="97"/>
        <v>Efficient uncompeted_Prospective Commercial NVC Refrigerator</v>
      </c>
      <c r="AP105" s="111">
        <f t="shared" ref="AP105:BY105" si="104">(D104-D105)*293071083333.33</f>
        <v>0</v>
      </c>
      <c r="AQ105" s="111">
        <f t="shared" si="104"/>
        <v>0</v>
      </c>
      <c r="AR105" s="111">
        <f t="shared" si="104"/>
        <v>0</v>
      </c>
      <c r="AS105" s="111">
        <f t="shared" si="104"/>
        <v>0</v>
      </c>
      <c r="AT105" s="111">
        <f t="shared" si="104"/>
        <v>0</v>
      </c>
      <c r="AU105" s="209">
        <f t="shared" si="104"/>
        <v>30386388029.521679</v>
      </c>
      <c r="AV105" s="111">
        <f t="shared" si="104"/>
        <v>29887982737.081886</v>
      </c>
      <c r="AW105" s="111">
        <f t="shared" si="104"/>
        <v>29300318545.248161</v>
      </c>
      <c r="AX105" s="111">
        <f t="shared" si="104"/>
        <v>28680371869.407543</v>
      </c>
      <c r="AY105" s="111">
        <f t="shared" si="104"/>
        <v>28125048799.363804</v>
      </c>
      <c r="AZ105" s="111">
        <f t="shared" si="104"/>
        <v>27457002293.312771</v>
      </c>
      <c r="BA105" s="111">
        <f t="shared" si="104"/>
        <v>26821358128.8904</v>
      </c>
      <c r="BB105" s="111">
        <f t="shared" si="104"/>
        <v>26254544161.433693</v>
      </c>
      <c r="BC105" s="111">
        <f t="shared" si="104"/>
        <v>25772176770.918663</v>
      </c>
      <c r="BD105" s="111">
        <f t="shared" si="104"/>
        <v>25424746732.623253</v>
      </c>
      <c r="BE105" s="111">
        <f t="shared" si="104"/>
        <v>25035272144.949608</v>
      </c>
      <c r="BF105" s="111">
        <f t="shared" si="104"/>
        <v>24656917080.445671</v>
      </c>
      <c r="BG105" s="111">
        <f t="shared" si="104"/>
        <v>24230894747.436813</v>
      </c>
      <c r="BH105" s="111">
        <f t="shared" si="104"/>
        <v>23917500452.501156</v>
      </c>
      <c r="BI105" s="111">
        <f t="shared" si="104"/>
        <v>23609412868.996338</v>
      </c>
      <c r="BJ105" s="111">
        <f t="shared" si="104"/>
        <v>23365889030.719254</v>
      </c>
      <c r="BK105" s="111">
        <f t="shared" si="104"/>
        <v>23171039744.688461</v>
      </c>
      <c r="BL105" s="111">
        <f t="shared" si="104"/>
        <v>22974776202.168167</v>
      </c>
      <c r="BM105" s="111">
        <f t="shared" si="104"/>
        <v>22818347367.192909</v>
      </c>
      <c r="BN105" s="111">
        <f t="shared" si="104"/>
        <v>22710635215.626717</v>
      </c>
      <c r="BO105" s="111">
        <f t="shared" si="104"/>
        <v>22614085594.703915</v>
      </c>
      <c r="BP105" s="111">
        <f t="shared" si="104"/>
        <v>22526154338.705101</v>
      </c>
      <c r="BQ105" s="111">
        <f t="shared" si="104"/>
        <v>22460095864.74733</v>
      </c>
      <c r="BR105" s="111">
        <f t="shared" si="104"/>
        <v>22417878172.548847</v>
      </c>
      <c r="BS105" s="111">
        <f t="shared" si="104"/>
        <v>22398057087.11834</v>
      </c>
      <c r="BT105" s="111">
        <f t="shared" si="104"/>
        <v>22395486068.954609</v>
      </c>
      <c r="BU105" s="111">
        <f t="shared" si="104"/>
        <v>22413395527.942474</v>
      </c>
      <c r="BV105" s="111">
        <f t="shared" si="104"/>
        <v>22462306200.155582</v>
      </c>
      <c r="BW105" s="111">
        <f t="shared" si="104"/>
        <v>22509808368.071812</v>
      </c>
      <c r="BX105" s="111">
        <f t="shared" si="104"/>
        <v>22576065084.256355</v>
      </c>
      <c r="BY105" s="111">
        <f t="shared" si="104"/>
        <v>22639930230.630527</v>
      </c>
      <c r="CA105" s="9">
        <f t="shared" ref="CA105:DJ105" si="105">(D104-D105)/D104</f>
        <v>0</v>
      </c>
      <c r="CB105" s="9">
        <f t="shared" si="105"/>
        <v>0</v>
      </c>
      <c r="CC105" s="9">
        <f t="shared" si="105"/>
        <v>0</v>
      </c>
      <c r="CD105" s="9">
        <f t="shared" si="105"/>
        <v>0</v>
      </c>
      <c r="CE105" s="9">
        <f t="shared" si="105"/>
        <v>0</v>
      </c>
      <c r="CF105" s="9">
        <f t="shared" si="105"/>
        <v>0.31999999999999901</v>
      </c>
      <c r="CG105" s="9">
        <f t="shared" si="105"/>
        <v>0.3181281502733917</v>
      </c>
      <c r="CH105" s="9">
        <f t="shared" si="105"/>
        <v>0.31483589052981659</v>
      </c>
      <c r="CI105" s="9">
        <f t="shared" si="105"/>
        <v>0.31049734714232213</v>
      </c>
      <c r="CJ105" s="9">
        <f t="shared" si="105"/>
        <v>0.3054110019351215</v>
      </c>
      <c r="CK105" s="9">
        <f t="shared" si="105"/>
        <v>0.29981314284602811</v>
      </c>
      <c r="CL105" s="9">
        <f t="shared" si="105"/>
        <v>0.29389243107641772</v>
      </c>
      <c r="CM105" s="9">
        <f t="shared" si="105"/>
        <v>0.28787749675194158</v>
      </c>
      <c r="CN105" s="9">
        <f t="shared" si="105"/>
        <v>0.28216061536573095</v>
      </c>
      <c r="CO105" s="9">
        <f t="shared" si="105"/>
        <v>0.27693066436542063</v>
      </c>
      <c r="CP105" s="9">
        <f t="shared" si="105"/>
        <v>0.27192296459927362</v>
      </c>
      <c r="CQ105" s="9">
        <f t="shared" si="105"/>
        <v>0.26714724017579594</v>
      </c>
      <c r="CR105" s="9">
        <f t="shared" si="105"/>
        <v>0.26261237192432801</v>
      </c>
      <c r="CS105" s="9">
        <f t="shared" si="105"/>
        <v>0.2583241865544158</v>
      </c>
      <c r="CT105" s="9">
        <f t="shared" si="105"/>
        <v>0.25429218339617105</v>
      </c>
      <c r="CU105" s="9">
        <f t="shared" si="105"/>
        <v>0.25050964261313818</v>
      </c>
      <c r="CV105" s="9">
        <f t="shared" si="105"/>
        <v>0.24706663659700071</v>
      </c>
      <c r="CW105" s="9">
        <f t="shared" si="105"/>
        <v>0.2439712180745118</v>
      </c>
      <c r="CX105" s="9">
        <f t="shared" si="105"/>
        <v>0.24118504824014012</v>
      </c>
      <c r="CY105" s="9">
        <f t="shared" si="105"/>
        <v>0.23868369004245302</v>
      </c>
      <c r="CZ105" s="9">
        <f t="shared" si="105"/>
        <v>0.23642840655912775</v>
      </c>
      <c r="DA105" s="9">
        <f t="shared" si="105"/>
        <v>0.23437933087282481</v>
      </c>
      <c r="DB105" s="9">
        <f t="shared" si="105"/>
        <v>0.23252034542395719</v>
      </c>
      <c r="DC105" s="9">
        <f t="shared" si="105"/>
        <v>0.23083020686275341</v>
      </c>
      <c r="DD105" s="9">
        <f t="shared" si="105"/>
        <v>0.2293001392067642</v>
      </c>
      <c r="DE105" s="9">
        <f t="shared" si="105"/>
        <v>0.22791702590543236</v>
      </c>
      <c r="DF105" s="9">
        <f t="shared" si="105"/>
        <v>0.22665992351248057</v>
      </c>
      <c r="DG105" s="9">
        <f t="shared" si="105"/>
        <v>0.22552429274282193</v>
      </c>
      <c r="DH105" s="9">
        <f t="shared" si="105"/>
        <v>0.22449726729744554</v>
      </c>
      <c r="DI105" s="9">
        <f t="shared" si="105"/>
        <v>0.22357110152989784</v>
      </c>
      <c r="DJ105" s="9">
        <f t="shared" si="105"/>
        <v>0.22272815462808643</v>
      </c>
    </row>
    <row r="106" spans="1:114" x14ac:dyDescent="0.3">
      <c r="A106" t="s">
        <v>722</v>
      </c>
      <c r="B106" t="s">
        <v>686</v>
      </c>
      <c r="C106" t="s">
        <v>721</v>
      </c>
      <c r="D106">
        <v>0.14000375440000001</v>
      </c>
      <c r="E106">
        <v>0.1405580471</v>
      </c>
      <c r="F106">
        <v>0.13582626338689199</v>
      </c>
      <c r="G106">
        <v>0.14073870139787401</v>
      </c>
      <c r="H106">
        <v>0.13591461855458001</v>
      </c>
      <c r="I106">
        <v>0.13706818716702601</v>
      </c>
      <c r="J106">
        <v>0.13597484040699401</v>
      </c>
      <c r="K106">
        <v>0.134940708619985</v>
      </c>
      <c r="L106">
        <v>0.13401997352540199</v>
      </c>
      <c r="M106">
        <v>0.133455410653951</v>
      </c>
      <c r="N106">
        <v>0.132473617956336</v>
      </c>
      <c r="O106">
        <v>0.130792550697264</v>
      </c>
      <c r="P106">
        <v>0.12959346267482599</v>
      </c>
      <c r="Q106">
        <v>0.12875380540725201</v>
      </c>
      <c r="R106">
        <v>0.128432380650051</v>
      </c>
      <c r="S106">
        <v>0.12746285886939601</v>
      </c>
      <c r="T106">
        <v>0.126570114062101</v>
      </c>
      <c r="U106">
        <v>0.125455312946681</v>
      </c>
      <c r="V106">
        <v>0.124854088939347</v>
      </c>
      <c r="W106">
        <v>0.1243434431314</v>
      </c>
      <c r="X106">
        <v>0.12416290251158001</v>
      </c>
      <c r="Y106">
        <v>0.124157392292658</v>
      </c>
      <c r="Z106">
        <v>0.124127727999048</v>
      </c>
      <c r="AA106">
        <v>0.124254247384372</v>
      </c>
      <c r="AB106">
        <v>0.124663372215559</v>
      </c>
      <c r="AC106">
        <v>0.124742886414339</v>
      </c>
      <c r="AD106">
        <v>0.124857214170144</v>
      </c>
      <c r="AE106">
        <v>0.12519766603144</v>
      </c>
      <c r="AF106">
        <v>0.12569801126250901</v>
      </c>
      <c r="AG106">
        <v>0.126366397366168</v>
      </c>
      <c r="AH106">
        <v>0.12715638050029901</v>
      </c>
      <c r="AI106">
        <v>0.12812430230049399</v>
      </c>
      <c r="AJ106">
        <v>0.12929879577095199</v>
      </c>
      <c r="AK106">
        <v>0.13050993238794001</v>
      </c>
      <c r="AL106">
        <v>0.13193353048550599</v>
      </c>
      <c r="AM106">
        <v>0.13350886486868699</v>
      </c>
      <c r="AO106" t="str">
        <f t="shared" si="97"/>
        <v>Baseline uncompeted_Prospective Commercial Occupancy Ctl.</v>
      </c>
      <c r="AP106" s="111"/>
      <c r="AQ106" s="111"/>
      <c r="AR106" s="111"/>
      <c r="AS106" s="111"/>
      <c r="AT106" s="111"/>
      <c r="AU106" s="209"/>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row>
    <row r="107" spans="1:114" x14ac:dyDescent="0.3">
      <c r="A107" t="s">
        <v>722</v>
      </c>
      <c r="B107" t="s">
        <v>685</v>
      </c>
      <c r="C107" t="s">
        <v>721</v>
      </c>
      <c r="D107">
        <v>0.14000375440000001</v>
      </c>
      <c r="E107">
        <v>0.1405580471</v>
      </c>
      <c r="F107">
        <v>0.13582626338689199</v>
      </c>
      <c r="G107">
        <v>0.14073870139787401</v>
      </c>
      <c r="H107">
        <v>0.13591461855458001</v>
      </c>
      <c r="I107">
        <v>0.11650795909197199</v>
      </c>
      <c r="J107">
        <v>0.115578614345945</v>
      </c>
      <c r="K107">
        <v>0.114699602326987</v>
      </c>
      <c r="L107">
        <v>0.11391697749659099</v>
      </c>
      <c r="M107">
        <v>0.113437099055859</v>
      </c>
      <c r="N107">
        <v>0.112602575262886</v>
      </c>
      <c r="O107">
        <v>0.111173668092675</v>
      </c>
      <c r="P107">
        <v>0.11015444327360201</v>
      </c>
      <c r="Q107">
        <v>0.109440734596164</v>
      </c>
      <c r="R107">
        <v>0.109167523552543</v>
      </c>
      <c r="S107">
        <v>0.108343430038987</v>
      </c>
      <c r="T107">
        <v>0.10758459695278599</v>
      </c>
      <c r="U107">
        <v>0.10663701600467899</v>
      </c>
      <c r="V107">
        <v>0.106125975598445</v>
      </c>
      <c r="W107">
        <v>0.10569192666169</v>
      </c>
      <c r="X107">
        <v>0.10553846713484299</v>
      </c>
      <c r="Y107">
        <v>0.10553378344875899</v>
      </c>
      <c r="Z107">
        <v>0.105508568799191</v>
      </c>
      <c r="AA107">
        <v>0.105616110276716</v>
      </c>
      <c r="AB107">
        <v>0.105963866383225</v>
      </c>
      <c r="AC107">
        <v>0.10603145345218799</v>
      </c>
      <c r="AD107">
        <v>0.106128632044622</v>
      </c>
      <c r="AE107">
        <v>0.106418016126724</v>
      </c>
      <c r="AF107">
        <v>0.106843309573133</v>
      </c>
      <c r="AG107">
        <v>0.107411437761243</v>
      </c>
      <c r="AH107">
        <v>0.108082923425254</v>
      </c>
      <c r="AI107">
        <v>0.10890565695542</v>
      </c>
      <c r="AJ107">
        <v>0.109903976405309</v>
      </c>
      <c r="AK107">
        <v>0.110933442529749</v>
      </c>
      <c r="AL107">
        <v>0.11214350091267999</v>
      </c>
      <c r="AM107">
        <v>0.11348253513838399</v>
      </c>
      <c r="AO107" t="str">
        <f t="shared" si="97"/>
        <v>Efficient uncompeted_Prospective Commercial Occupancy Ctl.</v>
      </c>
      <c r="AP107" s="111">
        <f t="shared" ref="AP107:BY107" si="106">(D106-D107)*293071083333.33</f>
        <v>0</v>
      </c>
      <c r="AQ107" s="111">
        <f t="shared" si="106"/>
        <v>0</v>
      </c>
      <c r="AR107" s="111">
        <f t="shared" si="106"/>
        <v>0</v>
      </c>
      <c r="AS107" s="111">
        <f t="shared" si="106"/>
        <v>0</v>
      </c>
      <c r="AT107" s="111">
        <f t="shared" si="106"/>
        <v>0</v>
      </c>
      <c r="AU107" s="209">
        <f t="shared" si="106"/>
        <v>6025608315.5364275</v>
      </c>
      <c r="AV107" s="111">
        <f t="shared" si="106"/>
        <v>5977544067.6231298</v>
      </c>
      <c r="AW107" s="111">
        <f t="shared" si="106"/>
        <v>5932082949.154006</v>
      </c>
      <c r="AX107" s="111">
        <f t="shared" si="106"/>
        <v>5891606824.4092693</v>
      </c>
      <c r="AY107" s="111">
        <f t="shared" si="106"/>
        <v>5866788266.5569887</v>
      </c>
      <c r="AZ107" s="111">
        <f t="shared" si="106"/>
        <v>5823628009.1322432</v>
      </c>
      <c r="BA107" s="111">
        <f t="shared" si="106"/>
        <v>5749727178.7163239</v>
      </c>
      <c r="BB107" s="111">
        <f t="shared" si="106"/>
        <v>5697014474.8543339</v>
      </c>
      <c r="BC107" s="111">
        <f t="shared" si="106"/>
        <v>5660102585.098876</v>
      </c>
      <c r="BD107" s="111">
        <f t="shared" si="106"/>
        <v>5645972539.8284607</v>
      </c>
      <c r="BE107" s="111">
        <f t="shared" si="106"/>
        <v>5603351720.0424728</v>
      </c>
      <c r="BF107" s="111">
        <f t="shared" si="106"/>
        <v>5564106066.8704214</v>
      </c>
      <c r="BG107" s="111">
        <f t="shared" si="106"/>
        <v>5515098671.280818</v>
      </c>
      <c r="BH107" s="111">
        <f t="shared" si="106"/>
        <v>5488668465.6075411</v>
      </c>
      <c r="BI107" s="111">
        <f t="shared" si="106"/>
        <v>5466220137.5873566</v>
      </c>
      <c r="BJ107" s="111">
        <f t="shared" si="106"/>
        <v>5458283452.331912</v>
      </c>
      <c r="BK107" s="111">
        <f t="shared" si="106"/>
        <v>5458041219.4576674</v>
      </c>
      <c r="BL107" s="111">
        <f t="shared" si="106"/>
        <v>5456737157.4578295</v>
      </c>
      <c r="BM107" s="111">
        <f t="shared" si="106"/>
        <v>5462299033.4558849</v>
      </c>
      <c r="BN107" s="111">
        <f t="shared" si="106"/>
        <v>5480284432.0800476</v>
      </c>
      <c r="BO107" s="111">
        <f t="shared" si="106"/>
        <v>5483779928.9365768</v>
      </c>
      <c r="BP107" s="111">
        <f t="shared" si="106"/>
        <v>5488805852.8239737</v>
      </c>
      <c r="BQ107" s="111">
        <f t="shared" si="106"/>
        <v>5503772342.1957874</v>
      </c>
      <c r="BR107" s="111">
        <f t="shared" si="106"/>
        <v>5525767850.032197</v>
      </c>
      <c r="BS107" s="111">
        <f t="shared" si="106"/>
        <v>5555150545.9548807</v>
      </c>
      <c r="BT107" s="111">
        <f t="shared" si="106"/>
        <v>5589878727.8952103</v>
      </c>
      <c r="BU107" s="111">
        <f t="shared" si="106"/>
        <v>5632429211.4798946</v>
      </c>
      <c r="BV107" s="111">
        <f t="shared" si="106"/>
        <v>5684060722.5432415</v>
      </c>
      <c r="BW107" s="111">
        <f t="shared" si="106"/>
        <v>5737303090.6039867</v>
      </c>
      <c r="BX107" s="111">
        <f t="shared" si="106"/>
        <v>5799885406.1067524</v>
      </c>
      <c r="BY107" s="111">
        <f t="shared" si="106"/>
        <v>5869138149.2503729</v>
      </c>
      <c r="CA107" s="9">
        <f t="shared" ref="CA107:DJ107" si="107">(D106-D107)/D106</f>
        <v>0</v>
      </c>
      <c r="CB107" s="9">
        <f t="shared" si="107"/>
        <v>0</v>
      </c>
      <c r="CC107" s="9">
        <f t="shared" si="107"/>
        <v>0</v>
      </c>
      <c r="CD107" s="9">
        <f t="shared" si="107"/>
        <v>0</v>
      </c>
      <c r="CE107" s="9">
        <f t="shared" si="107"/>
        <v>0</v>
      </c>
      <c r="CF107" s="9">
        <f t="shared" si="107"/>
        <v>0.15000000000000085</v>
      </c>
      <c r="CG107" s="9">
        <f t="shared" si="107"/>
        <v>0.14999999999999927</v>
      </c>
      <c r="CH107" s="9">
        <f t="shared" si="107"/>
        <v>0.15000000000000183</v>
      </c>
      <c r="CI107" s="9">
        <f t="shared" si="107"/>
        <v>0.15000000000000518</v>
      </c>
      <c r="CJ107" s="9">
        <f t="shared" si="107"/>
        <v>0.14999999999999516</v>
      </c>
      <c r="CK107" s="9">
        <f t="shared" si="107"/>
        <v>0.14999999999999697</v>
      </c>
      <c r="CL107" s="9">
        <f t="shared" si="107"/>
        <v>0.14999999999999547</v>
      </c>
      <c r="CM107" s="9">
        <f t="shared" si="107"/>
        <v>0.15000000000000069</v>
      </c>
      <c r="CN107" s="9">
        <f t="shared" si="107"/>
        <v>0.15000000000000158</v>
      </c>
      <c r="CO107" s="9">
        <f t="shared" si="107"/>
        <v>0.15000000000000271</v>
      </c>
      <c r="CP107" s="9">
        <f t="shared" si="107"/>
        <v>0.14999999999999694</v>
      </c>
      <c r="CQ107" s="9">
        <f t="shared" si="107"/>
        <v>0.14999999999999888</v>
      </c>
      <c r="CR107" s="9">
        <f t="shared" si="107"/>
        <v>0.14999999999999883</v>
      </c>
      <c r="CS107" s="9">
        <f t="shared" si="107"/>
        <v>0.14999999999999963</v>
      </c>
      <c r="CT107" s="9">
        <f t="shared" si="107"/>
        <v>0.15</v>
      </c>
      <c r="CU107" s="9">
        <f t="shared" si="107"/>
        <v>0.15000000000000008</v>
      </c>
      <c r="CV107" s="9">
        <f t="shared" si="107"/>
        <v>0.15000000000000246</v>
      </c>
      <c r="CW107" s="9">
        <f t="shared" si="107"/>
        <v>0.14999999999999841</v>
      </c>
      <c r="CX107" s="9">
        <f t="shared" si="107"/>
        <v>0.15000000000000166</v>
      </c>
      <c r="CY107" s="9">
        <f t="shared" si="107"/>
        <v>0.15000000000000119</v>
      </c>
      <c r="CZ107" s="9">
        <f t="shared" si="107"/>
        <v>0.1500000000000013</v>
      </c>
      <c r="DA107" s="9">
        <f t="shared" si="107"/>
        <v>0.15000000000000321</v>
      </c>
      <c r="DB107" s="9">
        <f t="shared" si="107"/>
        <v>0.15000000000000005</v>
      </c>
      <c r="DC107" s="9">
        <f t="shared" si="107"/>
        <v>0.14999999999999733</v>
      </c>
      <c r="DD107" s="9">
        <f t="shared" si="107"/>
        <v>0.14999999999999847</v>
      </c>
      <c r="DE107" s="9">
        <f t="shared" si="107"/>
        <v>0.15000000000000127</v>
      </c>
      <c r="DF107" s="9">
        <f t="shared" si="107"/>
        <v>0.14999999999999916</v>
      </c>
      <c r="DG107" s="9">
        <f t="shared" si="107"/>
        <v>0.15000000000000152</v>
      </c>
      <c r="DH107" s="9">
        <f t="shared" si="107"/>
        <v>0.15000000000000005</v>
      </c>
      <c r="DI107" s="9">
        <f t="shared" si="107"/>
        <v>0.15000000000000074</v>
      </c>
      <c r="DJ107" s="9">
        <f t="shared" si="107"/>
        <v>0.14999999999999961</v>
      </c>
    </row>
    <row r="108" spans="1:114" x14ac:dyDescent="0.3">
      <c r="A108" t="s">
        <v>720</v>
      </c>
      <c r="B108" t="s">
        <v>686</v>
      </c>
      <c r="C108" t="s">
        <v>20</v>
      </c>
      <c r="D108">
        <v>0.26053697740005999</v>
      </c>
      <c r="E108">
        <v>0.28147403961835998</v>
      </c>
      <c r="F108">
        <v>0.27594123159596501</v>
      </c>
      <c r="G108">
        <v>0.22859959751287701</v>
      </c>
      <c r="H108">
        <v>0.209984049020742</v>
      </c>
      <c r="I108">
        <v>0.22718520907906301</v>
      </c>
      <c r="J108">
        <v>0.22141780414854001</v>
      </c>
      <c r="K108">
        <v>0.216410344555371</v>
      </c>
      <c r="L108">
        <v>0.212135671683087</v>
      </c>
      <c r="M108">
        <v>0.20969374965667101</v>
      </c>
      <c r="N108">
        <v>0.20614053979406599</v>
      </c>
      <c r="O108">
        <v>0.20332135954237601</v>
      </c>
      <c r="P108">
        <v>0.201441184306204</v>
      </c>
      <c r="Q108">
        <v>0.20054663975367401</v>
      </c>
      <c r="R108">
        <v>0.20104750172273</v>
      </c>
      <c r="S108">
        <v>0.19648006676098201</v>
      </c>
      <c r="T108">
        <v>0.19233395966469999</v>
      </c>
      <c r="U108">
        <v>0.187697875058076</v>
      </c>
      <c r="V108">
        <v>0.184901001484366</v>
      </c>
      <c r="W108">
        <v>0.18235659215858599</v>
      </c>
      <c r="X108">
        <v>0.18078818645005401</v>
      </c>
      <c r="Y108">
        <v>0.17979031795171099</v>
      </c>
      <c r="Z108">
        <v>0.17859960984513101</v>
      </c>
      <c r="AA108">
        <v>0.177739390352744</v>
      </c>
      <c r="AB108">
        <v>0.177476556728034</v>
      </c>
      <c r="AC108">
        <v>0.17355009184290199</v>
      </c>
      <c r="AD108">
        <v>0.17006540315671201</v>
      </c>
      <c r="AE108">
        <v>0.167458073132811</v>
      </c>
      <c r="AF108">
        <v>0.165495900312079</v>
      </c>
      <c r="AG108">
        <v>0.163890278416982</v>
      </c>
      <c r="AH108">
        <v>0.16241316950065901</v>
      </c>
      <c r="AI108">
        <v>0.161321372851494</v>
      </c>
      <c r="AJ108">
        <v>0.16080896074780501</v>
      </c>
      <c r="AK108">
        <v>0.160291909172603</v>
      </c>
      <c r="AL108">
        <v>0.16046091213198699</v>
      </c>
      <c r="AM108">
        <v>0.160973721238892</v>
      </c>
      <c r="AO108" t="str">
        <f t="shared" si="97"/>
        <v>Baseline uncompeted_Prospective Commercial SSL</v>
      </c>
      <c r="AP108" s="111"/>
      <c r="AQ108" s="111"/>
      <c r="AR108" s="111"/>
      <c r="AS108" s="111"/>
      <c r="AT108" s="111"/>
      <c r="AU108" s="209"/>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row>
    <row r="109" spans="1:114" x14ac:dyDescent="0.3">
      <c r="A109" t="s">
        <v>720</v>
      </c>
      <c r="B109" t="s">
        <v>685</v>
      </c>
      <c r="C109" t="s">
        <v>20</v>
      </c>
      <c r="D109">
        <v>0.26053697740005999</v>
      </c>
      <c r="E109">
        <v>0.28147403961835998</v>
      </c>
      <c r="F109">
        <v>0.27594123159596501</v>
      </c>
      <c r="G109">
        <v>0.22859959751287701</v>
      </c>
      <c r="H109">
        <v>0.209984049020742</v>
      </c>
      <c r="I109">
        <v>8.63978762867154E-2</v>
      </c>
      <c r="J109">
        <v>8.6755266230623601E-2</v>
      </c>
      <c r="K109">
        <v>8.6932008302453498E-2</v>
      </c>
      <c r="L109">
        <v>8.7047682876095198E-2</v>
      </c>
      <c r="M109">
        <v>8.8053942078710506E-2</v>
      </c>
      <c r="N109">
        <v>8.80159579339828E-2</v>
      </c>
      <c r="O109">
        <v>8.81242777216759E-2</v>
      </c>
      <c r="P109">
        <v>8.8514821638484995E-2</v>
      </c>
      <c r="Q109">
        <v>8.9379339993579401E-2</v>
      </c>
      <c r="R109">
        <v>9.1025985974108894E-2</v>
      </c>
      <c r="S109">
        <v>9.1745636815431506E-2</v>
      </c>
      <c r="T109">
        <v>9.2619554254235903E-2</v>
      </c>
      <c r="U109">
        <v>9.2978757274568599E-2</v>
      </c>
      <c r="V109">
        <v>9.4542203605981506E-2</v>
      </c>
      <c r="W109">
        <v>9.6106813851561196E-2</v>
      </c>
      <c r="X109">
        <v>9.8207740446682706E-2</v>
      </c>
      <c r="Y109">
        <v>0.100565378006652</v>
      </c>
      <c r="Z109">
        <v>0.102596628735803</v>
      </c>
      <c r="AA109">
        <v>0.104677100037546</v>
      </c>
      <c r="AB109">
        <v>0.10702537260179899</v>
      </c>
      <c r="AC109">
        <v>0.109008115483235</v>
      </c>
      <c r="AD109">
        <v>0.11089777896682999</v>
      </c>
      <c r="AE109">
        <v>0.113087506398323</v>
      </c>
      <c r="AF109">
        <v>0.115450692614154</v>
      </c>
      <c r="AG109">
        <v>0.117777528965543</v>
      </c>
      <c r="AH109">
        <v>0.11992509966326501</v>
      </c>
      <c r="AI109">
        <v>0.12212112084754401</v>
      </c>
      <c r="AJ109">
        <v>0.12453419529174301</v>
      </c>
      <c r="AK109">
        <v>0.12667790024794201</v>
      </c>
      <c r="AL109">
        <v>0.12921832128775801</v>
      </c>
      <c r="AM109">
        <v>0.13185265877979299</v>
      </c>
      <c r="AO109" t="str">
        <f t="shared" si="97"/>
        <v>Efficient uncompeted_Prospective Commercial SSL</v>
      </c>
      <c r="AP109" s="111">
        <f t="shared" ref="AP109:BY109" si="108">(D108-D109)*293071083333.33</f>
        <v>0</v>
      </c>
      <c r="AQ109" s="111">
        <f t="shared" si="108"/>
        <v>0</v>
      </c>
      <c r="AR109" s="111">
        <f t="shared" si="108"/>
        <v>0</v>
      </c>
      <c r="AS109" s="111">
        <f t="shared" si="108"/>
        <v>0</v>
      </c>
      <c r="AT109" s="111">
        <f t="shared" si="108"/>
        <v>0</v>
      </c>
      <c r="AU109" s="209">
        <f t="shared" si="108"/>
        <v>41260696141.063377</v>
      </c>
      <c r="AV109" s="111">
        <f t="shared" si="108"/>
        <v>39465695872.019394</v>
      </c>
      <c r="AW109" s="111">
        <f t="shared" si="108"/>
        <v>37946356273.839706</v>
      </c>
      <c r="AX109" s="111">
        <f t="shared" si="108"/>
        <v>36659672391.652542</v>
      </c>
      <c r="AY109" s="111">
        <f t="shared" si="108"/>
        <v>35649110183.330688</v>
      </c>
      <c r="AZ109" s="111">
        <f t="shared" si="108"/>
        <v>34618899174.031204</v>
      </c>
      <c r="BA109" s="111">
        <f t="shared" si="108"/>
        <v>33760933566.030838</v>
      </c>
      <c r="BB109" s="111">
        <f t="shared" si="108"/>
        <v>33095451443.920925</v>
      </c>
      <c r="BC109" s="111">
        <f t="shared" si="108"/>
        <v>32579920971.931965</v>
      </c>
      <c r="BD109" s="111">
        <f t="shared" si="108"/>
        <v>32244124810.42342</v>
      </c>
      <c r="BE109" s="111">
        <f t="shared" si="108"/>
        <v>30694632846.441246</v>
      </c>
      <c r="BF109" s="111">
        <f t="shared" si="108"/>
        <v>29223408817.583572</v>
      </c>
      <c r="BG109" s="111">
        <f t="shared" si="108"/>
        <v>27759434461.1898</v>
      </c>
      <c r="BH109" s="111">
        <f t="shared" si="108"/>
        <v>26481550782.915546</v>
      </c>
      <c r="BI109" s="111">
        <f t="shared" si="108"/>
        <v>25277315965.699303</v>
      </c>
      <c r="BJ109" s="111">
        <f t="shared" si="108"/>
        <v>24201940772.35759</v>
      </c>
      <c r="BK109" s="111">
        <f t="shared" si="108"/>
        <v>23218538976.71645</v>
      </c>
      <c r="BL109" s="111">
        <f t="shared" si="108"/>
        <v>22274276010.273376</v>
      </c>
      <c r="BM109" s="111">
        <f t="shared" si="108"/>
        <v>21412444573.489342</v>
      </c>
      <c r="BN109" s="111">
        <f t="shared" si="108"/>
        <v>20647204853.991596</v>
      </c>
      <c r="BO109" s="111">
        <f t="shared" si="108"/>
        <v>18915386932.201782</v>
      </c>
      <c r="BP109" s="111">
        <f t="shared" si="108"/>
        <v>17340319719.588066</v>
      </c>
      <c r="BQ109" s="111">
        <f t="shared" si="108"/>
        <v>15934440894.323511</v>
      </c>
      <c r="BR109" s="111">
        <f t="shared" si="108"/>
        <v>14666803235.672388</v>
      </c>
      <c r="BS109" s="111">
        <f t="shared" si="108"/>
        <v>13514313437.211649</v>
      </c>
      <c r="BT109" s="111">
        <f t="shared" si="108"/>
        <v>12452024655.987244</v>
      </c>
      <c r="BU109" s="111">
        <f t="shared" si="108"/>
        <v>11488460321.737167</v>
      </c>
      <c r="BV109" s="111">
        <f t="shared" si="108"/>
        <v>10631084809.87055</v>
      </c>
      <c r="BW109" s="111">
        <f t="shared" si="108"/>
        <v>9851294010.7266197</v>
      </c>
      <c r="BX109" s="111">
        <f t="shared" si="108"/>
        <v>9156299944.8581638</v>
      </c>
      <c r="BY109" s="111">
        <f t="shared" si="108"/>
        <v>8534541322.7057152</v>
      </c>
      <c r="CA109" s="9">
        <f t="shared" ref="CA109:DJ109" si="109">(D108-D109)/D108</f>
        <v>0</v>
      </c>
      <c r="CB109" s="9">
        <f t="shared" si="109"/>
        <v>0</v>
      </c>
      <c r="CC109" s="9">
        <f t="shared" si="109"/>
        <v>0</v>
      </c>
      <c r="CD109" s="9">
        <f t="shared" si="109"/>
        <v>0</v>
      </c>
      <c r="CE109" s="9">
        <f t="shared" si="109"/>
        <v>0</v>
      </c>
      <c r="CF109" s="9">
        <f t="shared" si="109"/>
        <v>0.61970289951117397</v>
      </c>
      <c r="CG109" s="9">
        <f t="shared" si="109"/>
        <v>0.608182970812848</v>
      </c>
      <c r="CH109" s="9">
        <f t="shared" si="109"/>
        <v>0.59830012525020038</v>
      </c>
      <c r="CI109" s="9">
        <f t="shared" si="109"/>
        <v>0.58966032357755849</v>
      </c>
      <c r="CJ109" s="9">
        <f t="shared" si="109"/>
        <v>0.58008313446213755</v>
      </c>
      <c r="CK109" s="9">
        <f t="shared" si="109"/>
        <v>0.57302936131868787</v>
      </c>
      <c r="CL109" s="9">
        <f t="shared" si="109"/>
        <v>0.56657638961287227</v>
      </c>
      <c r="CM109" s="9">
        <f t="shared" si="109"/>
        <v>0.56059222972033074</v>
      </c>
      <c r="CN109" s="9">
        <f t="shared" si="109"/>
        <v>0.55432142815575658</v>
      </c>
      <c r="CO109" s="9">
        <f t="shared" si="109"/>
        <v>0.54724139721146459</v>
      </c>
      <c r="CP109" s="9">
        <f t="shared" si="109"/>
        <v>0.53305371721478456</v>
      </c>
      <c r="CQ109" s="9">
        <f t="shared" si="109"/>
        <v>0.51844409372270184</v>
      </c>
      <c r="CR109" s="9">
        <f t="shared" si="109"/>
        <v>0.5046360687578384</v>
      </c>
      <c r="CS109" s="9">
        <f t="shared" si="109"/>
        <v>0.48868744437830769</v>
      </c>
      <c r="CT109" s="9">
        <f t="shared" si="109"/>
        <v>0.47297318559242363</v>
      </c>
      <c r="CU109" s="9">
        <f t="shared" si="109"/>
        <v>0.45678010065212771</v>
      </c>
      <c r="CV109" s="9">
        <f t="shared" si="109"/>
        <v>0.44065187073275902</v>
      </c>
      <c r="CW109" s="9">
        <f t="shared" si="109"/>
        <v>0.42554953605571949</v>
      </c>
      <c r="CX109" s="9">
        <f t="shared" si="109"/>
        <v>0.4110641438017627</v>
      </c>
      <c r="CY109" s="9">
        <f t="shared" si="109"/>
        <v>0.39696050805287353</v>
      </c>
      <c r="CZ109" s="9">
        <f t="shared" si="109"/>
        <v>0.37189249325255652</v>
      </c>
      <c r="DA109" s="9">
        <f t="shared" si="109"/>
        <v>0.34791099830786976</v>
      </c>
      <c r="DB109" s="9">
        <f t="shared" si="109"/>
        <v>0.32468166937145332</v>
      </c>
      <c r="DC109" s="9">
        <f t="shared" si="109"/>
        <v>0.30239545271848867</v>
      </c>
      <c r="DD109" s="9">
        <f t="shared" si="109"/>
        <v>0.28136354332204788</v>
      </c>
      <c r="DE109" s="9">
        <f t="shared" si="109"/>
        <v>0.2616048314802551</v>
      </c>
      <c r="DF109" s="9">
        <f t="shared" si="109"/>
        <v>0.24299478309074507</v>
      </c>
      <c r="DG109" s="9">
        <f t="shared" si="109"/>
        <v>0.22557676691258105</v>
      </c>
      <c r="DH109" s="9">
        <f t="shared" si="109"/>
        <v>0.20970496326464788</v>
      </c>
      <c r="DI109" s="9">
        <f t="shared" si="109"/>
        <v>0.19470530504357605</v>
      </c>
      <c r="DJ109" s="9">
        <f t="shared" si="109"/>
        <v>0.1809056921525849</v>
      </c>
    </row>
  </sheetData>
  <autoFilter ref="A2:AM109" xr:uid="{FBA3FB25-E1DA-DE4D-AFCD-D3C74B6F1AC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0AA39D35791DA409054978940634039" ma:contentTypeVersion="9" ma:contentTypeDescription="Create a new document." ma:contentTypeScope="" ma:versionID="9a5f5aae34d645b6d8f9e53926a8e062">
  <xsd:schema xmlns:xsd="http://www.w3.org/2001/XMLSchema" xmlns:xs="http://www.w3.org/2001/XMLSchema" xmlns:p="http://schemas.microsoft.com/office/2006/metadata/properties" xmlns:ns2="1148199a-7f5a-4e56-addd-b4885f0dc213" xmlns:ns3="1c6b3b15-b07d-448f-bec7-4422004dbb0c" targetNamespace="http://schemas.microsoft.com/office/2006/metadata/properties" ma:root="true" ma:fieldsID="d94459b6fd882a44cb7ac50ae5e983ea" ns2:_="" ns3:_="">
    <xsd:import namespace="1148199a-7f5a-4e56-addd-b4885f0dc213"/>
    <xsd:import namespace="1c6b3b15-b07d-448f-bec7-4422004dbb0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48199a-7f5a-4e56-addd-b4885f0dc2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6b3b15-b07d-448f-bec7-4422004dbb0c"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8E01172-AE96-4B90-9117-874FAAC585B7}">
  <ds:schemaRefs>
    <ds:schemaRef ds:uri="http://schemas.microsoft.com/sharepoint/v3/contenttype/forms"/>
  </ds:schemaRefs>
</ds:datastoreItem>
</file>

<file path=customXml/itemProps2.xml><?xml version="1.0" encoding="utf-8"?>
<ds:datastoreItem xmlns:ds="http://schemas.openxmlformats.org/officeDocument/2006/customXml" ds:itemID="{2F752162-623F-4308-B30F-E4FDB97F0E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48199a-7f5a-4e56-addd-b4885f0dc213"/>
    <ds:schemaRef ds:uri="1c6b3b15-b07d-448f-bec7-4422004dbb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7EE51B-A95B-4038-8DFA-BE2BE1F4E400}">
  <ds:schemaRefs>
    <ds:schemaRef ds:uri="http://www.w3.org/XML/1998/namespace"/>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1c6b3b15-b07d-448f-bec7-4422004dbb0c"/>
    <ds:schemaRef ds:uri="http://purl.org/dc/terms/"/>
    <ds:schemaRef ds:uri="1148199a-7f5a-4e56-addd-b4885f0dc213"/>
    <ds:schemaRef ds:uri="http://schemas.microsoft.com/office/2006/metadata/properties"/>
    <ds:schemaRef ds:uri="http://purl.org/dc/dcmitype/"/>
  </ds:schemaRefs>
</ds:datastoreItem>
</file>

<file path=docMetadata/LabelInfo.xml><?xml version="1.0" encoding="utf-8"?>
<clbl:labelList xmlns:clbl="http://schemas.microsoft.com/office/2020/mipLabelMetadata">
  <clbl:label id="{95965d95-ecc0-4720-b759-1f33c42ed7da}" enabled="1" method="Standard" siteId="{a0f29d7e-28cd-4f54-8442-7885aee7c080}"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vt:i4>
      </vt:variant>
    </vt:vector>
  </HeadingPairs>
  <TitlesOfParts>
    <vt:vector size="23" baseType="lpstr">
      <vt:lpstr>Disclaimer</vt:lpstr>
      <vt:lpstr>Dashboard</vt:lpstr>
      <vt:lpstr>Residential MultiFam</vt:lpstr>
      <vt:lpstr>Legend</vt:lpstr>
      <vt:lpstr>Residential</vt:lpstr>
      <vt:lpstr>Commercial</vt:lpstr>
      <vt:lpstr>Commercial_individual</vt:lpstr>
      <vt:lpstr>CZ5 Com Savings</vt:lpstr>
      <vt:lpstr>CZ5 Com_NoHeat</vt:lpstr>
      <vt:lpstr>SCOUT ECMs</vt:lpstr>
      <vt:lpstr>CZ5_sqft_bldg type</vt:lpstr>
      <vt:lpstr>ComRefBldg_Miami</vt:lpstr>
      <vt:lpstr>Scout-ComRefBldgs</vt:lpstr>
      <vt:lpstr>ComRefBldg_Miami2</vt:lpstr>
      <vt:lpstr>Industrial</vt:lpstr>
      <vt:lpstr>IAC Industrial Averages</vt:lpstr>
      <vt:lpstr>Consumption Forecasts</vt:lpstr>
      <vt:lpstr>Charts</vt:lpstr>
      <vt:lpstr>Siemens IRP Data</vt:lpstr>
      <vt:lpstr>Residential!MF_units</vt:lpstr>
      <vt:lpstr>MFUnitsPerBuilding</vt:lpstr>
      <vt:lpstr>Dashboard!Print_Area</vt:lpstr>
      <vt:lpstr>Residential!SF_units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Elsworth, James</dc:creator>
  <cp:lastModifiedBy>Young, Thomas</cp:lastModifiedBy>
  <cp:lastPrinted>2021-05-31T17:57:04Z</cp:lastPrinted>
  <dcterms:created xsi:type="dcterms:W3CDTF">2019-08-05T16:37:02Z</dcterms:created>
  <dcterms:modified xsi:type="dcterms:W3CDTF">2026-01-14T17:38:12Z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0x01010090AA39D35791DA409054978940634039</vt:lpwstr>
  </property>
</Properties>
</file>